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kccd-my.sharepoint.com/personal/sooyeon_kim_bakersfieldcollege_edu/Documents/_OIE copied 9.13.2020/_Student Equity Achievement Program SEAP/Student Equity Plan 2022-25/Shared w Academic Senate 10.19.2022/"/>
    </mc:Choice>
  </mc:AlternateContent>
  <xr:revisionPtr revIDLastSave="358" documentId="8_{E21E25BD-C3A5-4DF1-B3B7-D7EDADB69A5C}" xr6:coauthVersionLast="47" xr6:coauthVersionMax="47" xr10:uidLastSave="{7E3BBFB7-727A-45D0-8E77-C451A3CE94DF}"/>
  <bookViews>
    <workbookView xWindow="315" yWindow="390" windowWidth="30555" windowHeight="15270" activeTab="1" xr2:uid="{03AF550A-F7AE-45B9-9D71-31FA5C9E3083}"/>
  </bookViews>
  <sheets>
    <sheet name="Economically Disadvantaged" sheetId="1" r:id="rId1"/>
    <sheet name="Definition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0" i="1" l="1"/>
  <c r="J51" i="1"/>
  <c r="J38" i="1"/>
  <c r="J13" i="1"/>
  <c r="J24" i="1"/>
  <c r="Q3" i="1"/>
  <c r="J50" i="1"/>
  <c r="J12" i="1"/>
  <c r="P3" i="1"/>
  <c r="N3" i="1"/>
  <c r="F49" i="1"/>
  <c r="F48" i="1"/>
  <c r="I48" i="1" s="1"/>
  <c r="F47" i="1"/>
  <c r="I47" i="1" s="1"/>
  <c r="F46" i="1"/>
  <c r="I46" i="1" s="1"/>
  <c r="F45" i="1"/>
  <c r="I45" i="1" s="1"/>
  <c r="F44" i="1"/>
  <c r="I44" i="1" s="1"/>
  <c r="F43" i="1"/>
  <c r="I43" i="1" s="1"/>
  <c r="F42" i="1"/>
  <c r="I42" i="1" s="1"/>
  <c r="F41" i="1"/>
  <c r="I41" i="1" s="1"/>
  <c r="F40" i="1"/>
  <c r="I40" i="1" s="1"/>
  <c r="F36" i="1"/>
  <c r="I36" i="1" s="1"/>
  <c r="F35" i="1"/>
  <c r="I35" i="1" s="1"/>
  <c r="F34" i="1"/>
  <c r="I34" i="1" s="1"/>
  <c r="F33" i="1"/>
  <c r="I33" i="1" s="1"/>
  <c r="F32" i="1"/>
  <c r="I32" i="1" s="1"/>
  <c r="F31" i="1"/>
  <c r="F30" i="1"/>
  <c r="I30" i="1" s="1"/>
  <c r="F29" i="1"/>
  <c r="I29" i="1" s="1"/>
  <c r="F28" i="1"/>
  <c r="I28" i="1" s="1"/>
  <c r="F27" i="1"/>
  <c r="H27" i="1" s="1"/>
  <c r="F23" i="1"/>
  <c r="F22" i="1"/>
  <c r="I22" i="1" s="1"/>
  <c r="F21" i="1"/>
  <c r="F20" i="1"/>
  <c r="I20" i="1" s="1"/>
  <c r="F19" i="1"/>
  <c r="F18" i="1"/>
  <c r="F17" i="1"/>
  <c r="F16" i="1"/>
  <c r="I16" i="1" s="1"/>
  <c r="F15" i="1"/>
  <c r="F14" i="1"/>
  <c r="I14" i="1" s="1"/>
  <c r="I23" i="1"/>
  <c r="I21" i="1"/>
  <c r="I19" i="1"/>
  <c r="I17" i="1"/>
  <c r="I15" i="1"/>
  <c r="F4" i="1"/>
  <c r="I4" i="1" s="1"/>
  <c r="F5" i="1"/>
  <c r="I5" i="1" s="1"/>
  <c r="F6" i="1"/>
  <c r="H6" i="1" s="1"/>
  <c r="F7" i="1"/>
  <c r="I7" i="1" s="1"/>
  <c r="F8" i="1"/>
  <c r="F9" i="1"/>
  <c r="I9" i="1" s="1"/>
  <c r="F10" i="1"/>
  <c r="F11" i="1"/>
  <c r="I11" i="1" s="1"/>
  <c r="F3" i="1"/>
  <c r="F2" i="1"/>
  <c r="H3" i="1" l="1"/>
  <c r="H10" i="1"/>
  <c r="H8" i="1"/>
  <c r="H9" i="1"/>
  <c r="H11" i="1"/>
  <c r="H18" i="1"/>
  <c r="H4" i="1"/>
  <c r="J4" i="1" s="1"/>
  <c r="I6" i="1"/>
  <c r="H5" i="1"/>
  <c r="I10" i="1"/>
  <c r="J10" i="1" s="1"/>
  <c r="H7" i="1"/>
  <c r="I8" i="1"/>
  <c r="H31" i="1"/>
  <c r="I31" i="1"/>
  <c r="H2" i="1"/>
  <c r="H40" i="1"/>
  <c r="J40" i="1" s="1"/>
  <c r="H45" i="1"/>
  <c r="H41" i="1"/>
  <c r="H46" i="1"/>
  <c r="J46" i="1" s="1"/>
  <c r="H48" i="1"/>
  <c r="J48" i="1" s="1"/>
  <c r="H44" i="1"/>
  <c r="J44" i="1" s="1"/>
  <c r="H49" i="1"/>
  <c r="H47" i="1"/>
  <c r="I49" i="1"/>
  <c r="H42" i="1"/>
  <c r="J42" i="1" s="1"/>
  <c r="H43" i="1"/>
  <c r="H32" i="1"/>
  <c r="H33" i="1"/>
  <c r="H34" i="1"/>
  <c r="H29" i="1"/>
  <c r="H35" i="1"/>
  <c r="J35" i="1" s="1"/>
  <c r="I27" i="1"/>
  <c r="H30" i="1"/>
  <c r="H28" i="1"/>
  <c r="H36" i="1"/>
  <c r="I18" i="1"/>
  <c r="H23" i="1"/>
  <c r="H19" i="1"/>
  <c r="H16" i="1"/>
  <c r="H21" i="1"/>
  <c r="H14" i="1"/>
  <c r="H22" i="1"/>
  <c r="H17" i="1"/>
  <c r="H15" i="1"/>
  <c r="H20" i="1"/>
  <c r="I2" i="1"/>
  <c r="I3" i="1"/>
  <c r="J2" i="1" l="1"/>
</calcChain>
</file>

<file path=xl/sharedStrings.xml><?xml version="1.0" encoding="utf-8"?>
<sst xmlns="http://schemas.openxmlformats.org/spreadsheetml/2006/main" count="101" uniqueCount="50">
  <si>
    <t>Metric</t>
  </si>
  <si>
    <t>Academic Year</t>
  </si>
  <si>
    <t>Primary_disaggregation</t>
  </si>
  <si>
    <t>Eoconomically Disadvantaged</t>
  </si>
  <si>
    <t>Not Economically Disadvantaged</t>
  </si>
  <si>
    <t>Outcome rate</t>
  </si>
  <si>
    <t>Cohort Count</t>
  </si>
  <si>
    <t>Outcome Count</t>
  </si>
  <si>
    <t>PPG-1</t>
  </si>
  <si>
    <t>MOE</t>
  </si>
  <si>
    <t>Full Equity</t>
  </si>
  <si>
    <t>Primary DI Observed</t>
  </si>
  <si>
    <t>Y</t>
  </si>
  <si>
    <t>Progress</t>
  </si>
  <si>
    <t>(Completed Both Transfer-Level Math and English within the District in the First Year)</t>
  </si>
  <si>
    <t>Persistence</t>
  </si>
  <si>
    <t>(Persisted First Primary Term to Subsequent Primary Term)</t>
  </si>
  <si>
    <t>Completion</t>
  </si>
  <si>
    <t>Transfer</t>
  </si>
  <si>
    <t>(Attained the Vision for Success Definition of Completion within Three Years)</t>
  </si>
  <si>
    <t>(Transferred to a Four-Year Institution within Three Years)</t>
  </si>
  <si>
    <t>Total Full Equity</t>
  </si>
  <si>
    <t>DI Consistency (Average DI Level)</t>
  </si>
  <si>
    <t>DI Pervasiveness</t>
  </si>
  <si>
    <t>(# Metrics impacted)</t>
  </si>
  <si>
    <t># Years with DI/Max possible # of metric years (5*4)</t>
  </si>
  <si>
    <t>&lt;-total full equity for Progress</t>
  </si>
  <si>
    <t xml:space="preserve">&lt;-Full equity </t>
  </si>
  <si>
    <t>Annual Number of Additional Success Needed</t>
  </si>
  <si>
    <t>&lt;-average full equity for Progress</t>
  </si>
  <si>
    <t xml:space="preserve">&lt;-Average Full equity </t>
  </si>
  <si>
    <t>426+196+989</t>
  </si>
  <si>
    <t>&lt;- Total Full Equity</t>
  </si>
  <si>
    <t>&lt;-Total # Years w DI</t>
  </si>
  <si>
    <t>3*</t>
  </si>
  <si>
    <t>(3+1+5)</t>
  </si>
  <si>
    <t># metrics w DI -&gt;</t>
  </si>
  <si>
    <t>The margin of error is calculated at the 95% confidence interval using the following formula</t>
  </si>
  <si>
    <t>MoE = 1.96*SquareRooot((subgroup_outcome_rate*(1-subgroup_outcome_rate))/subgroup_denom))</t>
  </si>
  <si>
    <t>The absolute value of a negative percentage point gap (subgroup cohort outcome rate &lt; all other cohort subgroups) must be larger than the calculated MoE, and that gap must be larger than 2%.</t>
  </si>
  <si>
    <t xml:space="preserve">Smaller equity gaps that are not larger than 2% may indicate some level of DI but are not considered substantive. </t>
  </si>
  <si>
    <t>The MoE threshold of 2% guides prioritization within student equity planning, thus helping to determine the gaps on which to equity planning resources.</t>
  </si>
  <si>
    <t>In the PPG-1 methodology,the outcome rate of the primary subgroup is compared to the 
outcome rate of all OTHER cohort students.</t>
  </si>
  <si>
    <t>CCCCO Percentage Point Gap Minus One (PPG-1) Methodology Notes [2022] - LaunchBoard Resources (wested.org)</t>
  </si>
  <si>
    <t xml:space="preserve">Full equity represents the number of additional students in the subgroup who would need to attain the metric outcome to achieve full equity when DI is observed for that subgroup. </t>
  </si>
  <si>
    <t>The value gives an idea of how large the equity gap is that needs to be addressed in terms of the number of students. This number is an estimate to inform prioritization decisions and target-setting.</t>
  </si>
  <si>
    <t>Full equity will be calculated when DI is observed and outside the calculated margin of error o (primary reference rate*primary subgroup denominator)-primary subgroup value.</t>
  </si>
  <si>
    <t>Note: ACCESS metric for Economically Disadvantaged disaggregation has not been populated.</t>
  </si>
  <si>
    <t>&lt;-total full equity for Persistence</t>
  </si>
  <si>
    <t>Progress, Completion,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</si>
</sst>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1" fontId="0" fillId="0" borderId="0" xfId="0" applyNumberFormat="1"/>
    <xf numFmtId="0" fontId="0" fillId="0" borderId="0" xfId="0" applyAlignment="1">
      <alignment vertical="center"/>
    </xf>
    <xf numFmtId="0" fontId="0" fillId="0" borderId="0" xfId="0" applyAlignment="1">
      <alignment horizontal="center" vertical="center"/>
    </xf>
    <xf numFmtId="164" fontId="0" fillId="0" borderId="0" xfId="1" applyNumberFormat="1" applyFont="1" applyAlignment="1">
      <alignment horizontal="center" vertical="center"/>
    </xf>
    <xf numFmtId="10" fontId="0" fillId="0" borderId="0" xfId="1" applyNumberFormat="1"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xf>
    <xf numFmtId="10" fontId="0" fillId="0" borderId="0" xfId="0" applyNumberFormat="1" applyAlignment="1">
      <alignment horizontal="center" vertical="center"/>
    </xf>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164" fontId="0" fillId="0" borderId="1" xfId="1" applyNumberFormat="1" applyFont="1" applyBorder="1" applyAlignment="1">
      <alignment horizontal="center" vertical="center"/>
    </xf>
    <xf numFmtId="10"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0" fontId="3" fillId="0" borderId="1" xfId="0" applyFont="1" applyBorder="1" applyAlignment="1">
      <alignment horizontal="left"/>
    </xf>
    <xf numFmtId="0" fontId="2" fillId="0" borderId="0" xfId="0" applyFont="1"/>
    <xf numFmtId="1" fontId="0" fillId="0" borderId="1" xfId="0" applyNumberFormat="1" applyBorder="1" applyAlignment="1">
      <alignment horizontal="center" vertical="center"/>
    </xf>
    <xf numFmtId="0" fontId="3" fillId="0" borderId="0" xfId="0" applyFont="1"/>
    <xf numFmtId="1" fontId="2" fillId="0" borderId="0" xfId="0" applyNumberFormat="1" applyFont="1"/>
    <xf numFmtId="0" fontId="0" fillId="0" borderId="0" xfId="0" applyAlignment="1">
      <alignment horizontal="left" vertical="center"/>
    </xf>
    <xf numFmtId="0" fontId="2" fillId="0" borderId="0" xfId="0" applyFont="1" applyAlignment="1">
      <alignment vertical="center"/>
    </xf>
    <xf numFmtId="0" fontId="2" fillId="0" borderId="0" xfId="0" applyFont="1" applyAlignment="1">
      <alignment horizontal="right"/>
    </xf>
    <xf numFmtId="0" fontId="4"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209550</xdr:colOff>
      <xdr:row>4</xdr:row>
      <xdr:rowOff>152400</xdr:rowOff>
    </xdr:from>
    <xdr:to>
      <xdr:col>18</xdr:col>
      <xdr:colOff>599300</xdr:colOff>
      <xdr:row>25</xdr:row>
      <xdr:rowOff>151900</xdr:rowOff>
    </xdr:to>
    <xdr:pic>
      <xdr:nvPicPr>
        <xdr:cNvPr id="3" name="Picture 2">
          <a:extLst>
            <a:ext uri="{FF2B5EF4-FFF2-40B4-BE49-F238E27FC236}">
              <a16:creationId xmlns:a16="http://schemas.microsoft.com/office/drawing/2014/main" id="{6FF686E3-EB62-861B-9D54-7A70D6FFCD97}"/>
            </a:ext>
          </a:extLst>
        </xdr:cNvPr>
        <xdr:cNvPicPr>
          <a:picLocks noChangeAspect="1"/>
        </xdr:cNvPicPr>
      </xdr:nvPicPr>
      <xdr:blipFill>
        <a:blip xmlns:r="http://schemas.openxmlformats.org/officeDocument/2006/relationships" r:embed="rId1"/>
        <a:stretch>
          <a:fillRect/>
        </a:stretch>
      </xdr:blipFill>
      <xdr:spPr>
        <a:xfrm>
          <a:off x="11182350" y="914400"/>
          <a:ext cx="6200000" cy="4000000"/>
        </a:xfrm>
        <a:prstGeom prst="rect">
          <a:avLst/>
        </a:prstGeom>
      </xdr:spPr>
    </xdr:pic>
    <xdr:clientData/>
  </xdr:twoCellAnchor>
  <xdr:twoCellAnchor editAs="oneCell">
    <xdr:from>
      <xdr:col>13</xdr:col>
      <xdr:colOff>0</xdr:colOff>
      <xdr:row>28</xdr:row>
      <xdr:rowOff>0</xdr:rowOff>
    </xdr:from>
    <xdr:to>
      <xdr:col>17</xdr:col>
      <xdr:colOff>218398</xdr:colOff>
      <xdr:row>44</xdr:row>
      <xdr:rowOff>66286</xdr:rowOff>
    </xdr:to>
    <xdr:pic>
      <xdr:nvPicPr>
        <xdr:cNvPr id="5" name="Picture 4">
          <a:extLst>
            <a:ext uri="{FF2B5EF4-FFF2-40B4-BE49-F238E27FC236}">
              <a16:creationId xmlns:a16="http://schemas.microsoft.com/office/drawing/2014/main" id="{69376CE3-869C-760E-2389-F7F40622D309}"/>
            </a:ext>
          </a:extLst>
        </xdr:cNvPr>
        <xdr:cNvPicPr>
          <a:picLocks noChangeAspect="1"/>
        </xdr:cNvPicPr>
      </xdr:nvPicPr>
      <xdr:blipFill>
        <a:blip xmlns:r="http://schemas.openxmlformats.org/officeDocument/2006/relationships" r:embed="rId2"/>
        <a:stretch>
          <a:fillRect/>
        </a:stretch>
      </xdr:blipFill>
      <xdr:spPr>
        <a:xfrm>
          <a:off x="10829925" y="5334000"/>
          <a:ext cx="5419048" cy="3114286"/>
        </a:xfrm>
        <a:prstGeom prst="rect">
          <a:avLst/>
        </a:prstGeom>
      </xdr:spPr>
    </xdr:pic>
    <xdr:clientData/>
  </xdr:twoCellAnchor>
  <xdr:twoCellAnchor editAs="oneCell">
    <xdr:from>
      <xdr:col>13</xdr:col>
      <xdr:colOff>247650</xdr:colOff>
      <xdr:row>45</xdr:row>
      <xdr:rowOff>28575</xdr:rowOff>
    </xdr:from>
    <xdr:to>
      <xdr:col>22</xdr:col>
      <xdr:colOff>189476</xdr:colOff>
      <xdr:row>64</xdr:row>
      <xdr:rowOff>18599</xdr:rowOff>
    </xdr:to>
    <xdr:pic>
      <xdr:nvPicPr>
        <xdr:cNvPr id="8" name="Picture 7">
          <a:extLst>
            <a:ext uri="{FF2B5EF4-FFF2-40B4-BE49-F238E27FC236}">
              <a16:creationId xmlns:a16="http://schemas.microsoft.com/office/drawing/2014/main" id="{203901E8-5F3B-510A-C3B2-BF2BD89CFB40}"/>
            </a:ext>
          </a:extLst>
        </xdr:cNvPr>
        <xdr:cNvPicPr>
          <a:picLocks noChangeAspect="1"/>
        </xdr:cNvPicPr>
      </xdr:nvPicPr>
      <xdr:blipFill>
        <a:blip xmlns:r="http://schemas.openxmlformats.org/officeDocument/2006/relationships" r:embed="rId3"/>
        <a:stretch>
          <a:fillRect/>
        </a:stretch>
      </xdr:blipFill>
      <xdr:spPr>
        <a:xfrm>
          <a:off x="11220450" y="8601075"/>
          <a:ext cx="8190476" cy="36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launchboard-resources.wested.org/resources/1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F7C1-99FE-4055-913A-54435AC0B0EA}">
  <dimension ref="A1:R70"/>
  <sheetViews>
    <sheetView topLeftCell="A37" workbookViewId="0">
      <selection activeCell="T11" sqref="T11"/>
    </sheetView>
  </sheetViews>
  <sheetFormatPr defaultRowHeight="15" x14ac:dyDescent="0.25"/>
  <cols>
    <col min="1" max="1" width="24.28515625" customWidth="1"/>
    <col min="2" max="2" width="14.42578125" style="7" customWidth="1"/>
    <col min="3" max="3" width="30" customWidth="1"/>
    <col min="4" max="4" width="12.7109375" customWidth="1"/>
    <col min="5" max="5" width="11" customWidth="1"/>
    <col min="6" max="6" width="12.85546875" customWidth="1"/>
    <col min="7" max="7" width="3.140625" customWidth="1"/>
    <col min="10" max="10" width="13" customWidth="1"/>
    <col min="11" max="11" width="9.140625" style="2"/>
    <col min="12" max="12" width="10.140625" customWidth="1"/>
    <col min="14" max="15" width="24.28515625" customWidth="1"/>
    <col min="16" max="16" width="15.140625" customWidth="1"/>
    <col min="17" max="17" width="14.28515625" customWidth="1"/>
  </cols>
  <sheetData>
    <row r="1" spans="1:17" x14ac:dyDescent="0.25">
      <c r="A1" s="9" t="s">
        <v>0</v>
      </c>
      <c r="B1" s="10" t="s">
        <v>1</v>
      </c>
      <c r="C1" s="9" t="s">
        <v>2</v>
      </c>
      <c r="D1" s="9" t="s">
        <v>6</v>
      </c>
      <c r="E1" s="9" t="s">
        <v>7</v>
      </c>
      <c r="F1" s="9" t="s">
        <v>5</v>
      </c>
      <c r="G1" s="9"/>
      <c r="H1" s="9" t="s">
        <v>8</v>
      </c>
      <c r="I1" s="9" t="s">
        <v>9</v>
      </c>
      <c r="J1" s="9" t="s">
        <v>10</v>
      </c>
      <c r="K1" s="17" t="s">
        <v>11</v>
      </c>
      <c r="L1" s="9"/>
      <c r="N1" s="20" t="s">
        <v>22</v>
      </c>
      <c r="O1" s="20" t="s">
        <v>23</v>
      </c>
      <c r="P1" s="20" t="s">
        <v>21</v>
      </c>
      <c r="Q1" s="20" t="s">
        <v>28</v>
      </c>
    </row>
    <row r="2" spans="1:17" s="3" customFormat="1" x14ac:dyDescent="0.25">
      <c r="A2" t="s">
        <v>13</v>
      </c>
      <c r="B2" s="7">
        <v>2017</v>
      </c>
      <c r="C2" s="3" t="s">
        <v>3</v>
      </c>
      <c r="D2">
        <v>4748</v>
      </c>
      <c r="E2">
        <v>161</v>
      </c>
      <c r="F2" s="4">
        <f>E2/D2</f>
        <v>3.3909014321819711E-2</v>
      </c>
      <c r="H2" s="8">
        <f>F2-F3</f>
        <v>-3.2466531529708673E-2</v>
      </c>
      <c r="I2" s="5">
        <f>(1.96*SQRT(F2*(1-F2)/D2))*-1</f>
        <v>-5.1483411110221696E-3</v>
      </c>
      <c r="J2" s="6">
        <f>IF((AND(H2&lt;I2,H2&lt;-0.0199999)),ROUNDUP((((F3)*E2)/F2)-E2,0),"N/A")</f>
        <v>155</v>
      </c>
      <c r="K2" s="7" t="s">
        <v>12</v>
      </c>
      <c r="N2" s="22" t="s">
        <v>25</v>
      </c>
      <c r="O2" s="3" t="s">
        <v>24</v>
      </c>
    </row>
    <row r="3" spans="1:17" s="3" customFormat="1" x14ac:dyDescent="0.25">
      <c r="A3" t="s">
        <v>14</v>
      </c>
      <c r="B3" s="11">
        <v>2017</v>
      </c>
      <c r="C3" s="12" t="s">
        <v>4</v>
      </c>
      <c r="D3" s="13">
        <v>1145</v>
      </c>
      <c r="E3" s="13">
        <v>76</v>
      </c>
      <c r="F3" s="14">
        <f>E3/D3</f>
        <v>6.6375545851528384E-2</v>
      </c>
      <c r="G3" s="12"/>
      <c r="H3" s="15">
        <f>F3-F2</f>
        <v>3.2466531529708673E-2</v>
      </c>
      <c r="I3" s="16">
        <f>(1.96*SQRT(F3*(1-F3)/D3))*-1</f>
        <v>-1.4419277172947401E-2</v>
      </c>
      <c r="J3" s="12"/>
      <c r="K3" s="11"/>
      <c r="L3" s="12"/>
      <c r="N3" s="3">
        <f>(3+1+5)/4</f>
        <v>2.25</v>
      </c>
      <c r="O3" s="3">
        <v>3</v>
      </c>
      <c r="P3" s="6">
        <f>J2+J4+J10+J35+J40+J42+J44+J46+J48</f>
        <v>1611</v>
      </c>
      <c r="Q3" s="3">
        <f>(P3/(3+1+5))*3</f>
        <v>537</v>
      </c>
    </row>
    <row r="4" spans="1:17" x14ac:dyDescent="0.25">
      <c r="B4" s="7">
        <v>2018</v>
      </c>
      <c r="C4" s="3" t="s">
        <v>3</v>
      </c>
      <c r="D4">
        <v>4901</v>
      </c>
      <c r="E4">
        <v>209</v>
      </c>
      <c r="F4" s="4">
        <f t="shared" ref="F4:F11" si="0">E4/D4</f>
        <v>4.2644358294225665E-2</v>
      </c>
      <c r="H4" s="8">
        <f>F4-F5</f>
        <v>-3.1567144488705692E-2</v>
      </c>
      <c r="I4" s="5">
        <f t="shared" ref="I4:I11" si="1">(1.96*SQRT(F4*(1-F4)/D4))*-1</f>
        <v>-5.6569346584539066E-3</v>
      </c>
      <c r="J4" s="6">
        <f>IF((AND(H4&lt;I4,H4&lt;-0.0199999)),ROUNDUP((((F5)*E4)/F4)-E4,0),"N/A")</f>
        <v>155</v>
      </c>
      <c r="K4" s="7" t="s">
        <v>12</v>
      </c>
      <c r="O4" t="s">
        <v>49</v>
      </c>
    </row>
    <row r="5" spans="1:17" x14ac:dyDescent="0.25">
      <c r="B5" s="11">
        <v>2018</v>
      </c>
      <c r="C5" s="12" t="s">
        <v>4</v>
      </c>
      <c r="D5" s="13">
        <v>1078</v>
      </c>
      <c r="E5" s="13">
        <v>80</v>
      </c>
      <c r="F5" s="14">
        <f t="shared" si="0"/>
        <v>7.4211502782931357E-2</v>
      </c>
      <c r="G5" s="13"/>
      <c r="H5" s="15">
        <f>F5-F4</f>
        <v>3.1567144488705692E-2</v>
      </c>
      <c r="I5" s="16">
        <f t="shared" si="1"/>
        <v>-1.564725622475684E-2</v>
      </c>
      <c r="J5" s="12"/>
      <c r="K5" s="11"/>
      <c r="L5" s="13"/>
    </row>
    <row r="6" spans="1:17" x14ac:dyDescent="0.25">
      <c r="B6" s="7">
        <v>2019</v>
      </c>
      <c r="C6" s="3" t="s">
        <v>3</v>
      </c>
      <c r="D6">
        <v>5203</v>
      </c>
      <c r="E6">
        <v>325</v>
      </c>
      <c r="F6" s="4">
        <f t="shared" si="0"/>
        <v>6.2463963098212567E-2</v>
      </c>
      <c r="H6" s="8">
        <f>F6-F7</f>
        <v>-1.419108916659579E-2</v>
      </c>
      <c r="I6" s="5">
        <f t="shared" si="1"/>
        <v>-6.5756382187390234E-3</v>
      </c>
      <c r="J6" s="3"/>
      <c r="K6" s="7"/>
    </row>
    <row r="7" spans="1:17" x14ac:dyDescent="0.25">
      <c r="B7" s="11">
        <v>2019</v>
      </c>
      <c r="C7" s="12" t="s">
        <v>4</v>
      </c>
      <c r="D7" s="13">
        <v>1148</v>
      </c>
      <c r="E7" s="13">
        <v>88</v>
      </c>
      <c r="F7" s="14">
        <f t="shared" si="0"/>
        <v>7.6655052264808357E-2</v>
      </c>
      <c r="G7" s="13"/>
      <c r="H7" s="15">
        <f>F7-F6</f>
        <v>1.419108916659579E-2</v>
      </c>
      <c r="I7" s="16">
        <f t="shared" si="1"/>
        <v>-1.5389960599290641E-2</v>
      </c>
      <c r="J7" s="12"/>
      <c r="K7" s="11"/>
      <c r="L7" s="13"/>
    </row>
    <row r="8" spans="1:17" x14ac:dyDescent="0.25">
      <c r="B8" s="7">
        <v>2020</v>
      </c>
      <c r="C8" s="3" t="s">
        <v>3</v>
      </c>
      <c r="D8">
        <v>4963</v>
      </c>
      <c r="E8">
        <v>406</v>
      </c>
      <c r="F8" s="4">
        <f t="shared" si="0"/>
        <v>8.1805359661495061E-2</v>
      </c>
      <c r="H8" s="8">
        <f>F8-F9</f>
        <v>-1.8714571014414816E-2</v>
      </c>
      <c r="I8" s="5">
        <f t="shared" si="1"/>
        <v>-7.6250411124541813E-3</v>
      </c>
      <c r="J8" s="3"/>
      <c r="K8" s="7"/>
    </row>
    <row r="9" spans="1:17" x14ac:dyDescent="0.25">
      <c r="B9" s="11">
        <v>2020</v>
      </c>
      <c r="C9" s="12" t="s">
        <v>4</v>
      </c>
      <c r="D9" s="13">
        <v>1154</v>
      </c>
      <c r="E9" s="13">
        <v>116</v>
      </c>
      <c r="F9" s="14">
        <f t="shared" si="0"/>
        <v>0.10051993067590988</v>
      </c>
      <c r="G9" s="13"/>
      <c r="H9" s="15">
        <f>F9-F8</f>
        <v>1.8714571014414816E-2</v>
      </c>
      <c r="I9" s="16">
        <f t="shared" si="1"/>
        <v>-1.7349023268397316E-2</v>
      </c>
      <c r="J9" s="12"/>
      <c r="K9" s="11"/>
      <c r="L9" s="13"/>
    </row>
    <row r="10" spans="1:17" x14ac:dyDescent="0.25">
      <c r="B10" s="7">
        <v>2021</v>
      </c>
      <c r="C10" s="3" t="s">
        <v>3</v>
      </c>
      <c r="D10">
        <v>3914</v>
      </c>
      <c r="E10">
        <v>398</v>
      </c>
      <c r="F10" s="4">
        <f t="shared" si="0"/>
        <v>0.10168625447112928</v>
      </c>
      <c r="H10" s="8">
        <f>F10-F11</f>
        <v>-2.9584648538904162E-2</v>
      </c>
      <c r="I10" s="5">
        <f t="shared" si="1"/>
        <v>-9.4687098490404131E-3</v>
      </c>
      <c r="J10" s="6">
        <f>IF((AND(H10&lt;I10,H10&lt;-0.0199999)),ROUNDUP((((F11)*E10)/F10)-E10,0),"N/A")</f>
        <v>116</v>
      </c>
      <c r="K10" s="7" t="s">
        <v>12</v>
      </c>
      <c r="P10" s="18"/>
    </row>
    <row r="11" spans="1:17" x14ac:dyDescent="0.25">
      <c r="B11" s="11">
        <v>2021</v>
      </c>
      <c r="C11" s="12" t="s">
        <v>4</v>
      </c>
      <c r="D11" s="13">
        <v>1196</v>
      </c>
      <c r="E11" s="13">
        <v>157</v>
      </c>
      <c r="F11" s="14">
        <f t="shared" si="0"/>
        <v>0.13127090301003344</v>
      </c>
      <c r="G11" s="13"/>
      <c r="H11" s="15">
        <f>F11-F10</f>
        <v>2.9584648538904162E-2</v>
      </c>
      <c r="I11" s="16">
        <f t="shared" si="1"/>
        <v>-1.9138896853059088E-2</v>
      </c>
      <c r="J11" s="12"/>
      <c r="K11" s="11"/>
      <c r="L11" s="13"/>
    </row>
    <row r="12" spans="1:17" x14ac:dyDescent="0.25">
      <c r="J12" s="21">
        <f>J2+J4+J10</f>
        <v>426</v>
      </c>
      <c r="K12" s="23" t="s">
        <v>26</v>
      </c>
      <c r="P12" s="21"/>
    </row>
    <row r="13" spans="1:17" x14ac:dyDescent="0.25">
      <c r="J13" s="18">
        <f>J12/3</f>
        <v>142</v>
      </c>
      <c r="K13" s="23" t="s">
        <v>29</v>
      </c>
    </row>
    <row r="14" spans="1:17" x14ac:dyDescent="0.25">
      <c r="A14" t="s">
        <v>15</v>
      </c>
      <c r="B14" s="7">
        <v>2016</v>
      </c>
      <c r="C14" s="3" t="s">
        <v>3</v>
      </c>
      <c r="D14">
        <v>4340</v>
      </c>
      <c r="E14">
        <v>3113</v>
      </c>
      <c r="F14" s="4">
        <f t="shared" ref="F14:F23" si="2">E14/D14</f>
        <v>0.71728110599078343</v>
      </c>
      <c r="G14" s="3"/>
      <c r="H14" s="8">
        <f>F14-F15</f>
        <v>0.19089123969943933</v>
      </c>
      <c r="I14" s="5">
        <f>(1.96*SQRT(F14*(1-F14)/D14))*-1</f>
        <v>-1.339779470499787E-2</v>
      </c>
      <c r="J14" s="6"/>
      <c r="K14" s="7"/>
      <c r="L14" s="3"/>
    </row>
    <row r="15" spans="1:17" x14ac:dyDescent="0.25">
      <c r="A15" t="s">
        <v>16</v>
      </c>
      <c r="B15" s="11">
        <v>2016</v>
      </c>
      <c r="C15" s="12" t="s">
        <v>4</v>
      </c>
      <c r="D15" s="13">
        <v>1421</v>
      </c>
      <c r="E15" s="13">
        <v>748</v>
      </c>
      <c r="F15" s="14">
        <f t="shared" si="2"/>
        <v>0.5263898662913441</v>
      </c>
      <c r="G15" s="12"/>
      <c r="H15" s="15">
        <f>F15-F14</f>
        <v>-0.19089123969943933</v>
      </c>
      <c r="I15" s="16">
        <f>(1.96*SQRT(F15*(1-F15)/D15))*-1</f>
        <v>-2.5961111684288284E-2</v>
      </c>
      <c r="J15" s="19"/>
      <c r="K15" s="11"/>
      <c r="L15" s="12"/>
    </row>
    <row r="16" spans="1:17" x14ac:dyDescent="0.25">
      <c r="B16" s="7">
        <v>2017</v>
      </c>
      <c r="C16" s="3" t="s">
        <v>3</v>
      </c>
      <c r="D16">
        <v>4748</v>
      </c>
      <c r="E16">
        <v>3450</v>
      </c>
      <c r="F16" s="4">
        <f t="shared" si="2"/>
        <v>0.72662173546756526</v>
      </c>
      <c r="H16" s="8">
        <f>F16-F17</f>
        <v>0.16155623328415913</v>
      </c>
      <c r="I16" s="5">
        <f t="shared" ref="I16:I23" si="3">(1.96*SQRT(F16*(1-F16)/D16))*-1</f>
        <v>-1.2677595760972377E-2</v>
      </c>
      <c r="J16" s="6"/>
      <c r="K16" s="7"/>
    </row>
    <row r="17" spans="1:16" x14ac:dyDescent="0.25">
      <c r="B17" s="11">
        <v>2017</v>
      </c>
      <c r="C17" s="12" t="s">
        <v>4</v>
      </c>
      <c r="D17" s="13">
        <v>1145</v>
      </c>
      <c r="E17" s="13">
        <v>647</v>
      </c>
      <c r="F17" s="14">
        <f t="shared" si="2"/>
        <v>0.56506550218340612</v>
      </c>
      <c r="G17" s="13"/>
      <c r="H17" s="15">
        <f>F17-F16</f>
        <v>-0.16155623328415913</v>
      </c>
      <c r="I17" s="16">
        <f t="shared" si="3"/>
        <v>-2.8715385636096762E-2</v>
      </c>
      <c r="J17" s="19"/>
      <c r="K17" s="11"/>
      <c r="L17" s="13"/>
    </row>
    <row r="18" spans="1:16" x14ac:dyDescent="0.25">
      <c r="B18" s="7">
        <v>2018</v>
      </c>
      <c r="C18" s="3" t="s">
        <v>3</v>
      </c>
      <c r="D18">
        <v>4901</v>
      </c>
      <c r="E18">
        <v>3524</v>
      </c>
      <c r="F18" s="4">
        <f t="shared" si="2"/>
        <v>0.71903693123852275</v>
      </c>
      <c r="H18" s="8">
        <f>F18-F19</f>
        <v>9.0094445153179548E-2</v>
      </c>
      <c r="I18" s="5">
        <f t="shared" si="3"/>
        <v>-1.2583861727725229E-2</v>
      </c>
      <c r="J18" s="6"/>
      <c r="K18" s="7"/>
    </row>
    <row r="19" spans="1:16" x14ac:dyDescent="0.25">
      <c r="B19" s="11">
        <v>2018</v>
      </c>
      <c r="C19" s="12" t="s">
        <v>4</v>
      </c>
      <c r="D19" s="13">
        <v>1078</v>
      </c>
      <c r="E19" s="13">
        <v>678</v>
      </c>
      <c r="F19" s="14">
        <f t="shared" si="2"/>
        <v>0.6289424860853432</v>
      </c>
      <c r="G19" s="13"/>
      <c r="H19" s="15">
        <f>F19-F18</f>
        <v>-9.0094445153179548E-2</v>
      </c>
      <c r="I19" s="16">
        <f t="shared" si="3"/>
        <v>-2.8838506995555183E-2</v>
      </c>
      <c r="J19" s="19"/>
      <c r="K19" s="11"/>
      <c r="L19" s="13"/>
    </row>
    <row r="20" spans="1:16" x14ac:dyDescent="0.25">
      <c r="B20" s="7">
        <v>2019</v>
      </c>
      <c r="C20" s="3" t="s">
        <v>3</v>
      </c>
      <c r="D20">
        <v>5203</v>
      </c>
      <c r="E20">
        <v>3727</v>
      </c>
      <c r="F20" s="4">
        <f t="shared" si="2"/>
        <v>0.71631750912934844</v>
      </c>
      <c r="H20" s="8">
        <f>F20-F21</f>
        <v>0.13879137672516728</v>
      </c>
      <c r="I20" s="5">
        <f t="shared" si="3"/>
        <v>-1.2248931547921284E-2</v>
      </c>
      <c r="J20" s="6"/>
      <c r="K20" s="7"/>
    </row>
    <row r="21" spans="1:16" x14ac:dyDescent="0.25">
      <c r="B21" s="11">
        <v>2019</v>
      </c>
      <c r="C21" s="12" t="s">
        <v>4</v>
      </c>
      <c r="D21" s="13">
        <v>1148</v>
      </c>
      <c r="E21" s="13">
        <v>663</v>
      </c>
      <c r="F21" s="14">
        <f t="shared" si="2"/>
        <v>0.57752613240418116</v>
      </c>
      <c r="G21" s="13"/>
      <c r="H21" s="15">
        <f>F21-F20</f>
        <v>-0.13879137672516728</v>
      </c>
      <c r="I21" s="16">
        <f t="shared" si="3"/>
        <v>-2.8573988971123957E-2</v>
      </c>
      <c r="J21" s="19"/>
      <c r="K21" s="11"/>
      <c r="L21" s="13"/>
    </row>
    <row r="22" spans="1:16" x14ac:dyDescent="0.25">
      <c r="B22" s="7">
        <v>2020</v>
      </c>
      <c r="C22" s="3" t="s">
        <v>3</v>
      </c>
      <c r="D22">
        <v>4963</v>
      </c>
      <c r="E22">
        <v>3510</v>
      </c>
      <c r="F22" s="4">
        <f t="shared" si="2"/>
        <v>0.70723352810799922</v>
      </c>
      <c r="H22" s="8">
        <f>F22-F23</f>
        <v>0.13877598911319855</v>
      </c>
      <c r="I22" s="5">
        <f t="shared" si="3"/>
        <v>-1.2659776073704047E-2</v>
      </c>
      <c r="J22" s="6"/>
      <c r="K22" s="7"/>
      <c r="P22" s="18"/>
    </row>
    <row r="23" spans="1:16" x14ac:dyDescent="0.25">
      <c r="B23" s="11">
        <v>2020</v>
      </c>
      <c r="C23" s="12" t="s">
        <v>4</v>
      </c>
      <c r="D23" s="13">
        <v>1154</v>
      </c>
      <c r="E23" s="13">
        <v>656</v>
      </c>
      <c r="F23" s="14">
        <f t="shared" si="2"/>
        <v>0.56845753899480067</v>
      </c>
      <c r="G23" s="13"/>
      <c r="H23" s="15">
        <f>F23-F22</f>
        <v>-0.13877598911319855</v>
      </c>
      <c r="I23" s="16">
        <f t="shared" si="3"/>
        <v>-2.8576823283926859E-2</v>
      </c>
      <c r="J23" s="19"/>
      <c r="K23" s="11"/>
      <c r="L23" s="13"/>
      <c r="P23" s="18"/>
    </row>
    <row r="24" spans="1:16" x14ac:dyDescent="0.25">
      <c r="J24" s="21">
        <f>J14+J16+J22</f>
        <v>0</v>
      </c>
      <c r="K24" s="23" t="s">
        <v>48</v>
      </c>
    </row>
    <row r="27" spans="1:16" x14ac:dyDescent="0.25">
      <c r="A27" t="s">
        <v>17</v>
      </c>
      <c r="B27" s="7">
        <v>2014</v>
      </c>
      <c r="C27" s="3" t="s">
        <v>3</v>
      </c>
      <c r="D27">
        <v>3932</v>
      </c>
      <c r="E27">
        <v>183</v>
      </c>
      <c r="F27" s="4">
        <f t="shared" ref="F27:F36" si="4">E27/D27</f>
        <v>4.6541200406917602E-2</v>
      </c>
      <c r="G27" s="3"/>
      <c r="H27" s="8">
        <f>F27-F28</f>
        <v>-1.6167829693416846E-2</v>
      </c>
      <c r="I27" s="5">
        <f>(1.96*SQRT(F27*(1-F27)/D27))*-1</f>
        <v>-6.5844434587758616E-3</v>
      </c>
      <c r="J27" s="6"/>
      <c r="K27" s="7"/>
      <c r="L27" s="3"/>
    </row>
    <row r="28" spans="1:16" x14ac:dyDescent="0.25">
      <c r="A28" t="s">
        <v>19</v>
      </c>
      <c r="B28" s="11">
        <v>2014</v>
      </c>
      <c r="C28" s="12" t="s">
        <v>4</v>
      </c>
      <c r="D28" s="13">
        <v>1196</v>
      </c>
      <c r="E28" s="13">
        <v>75</v>
      </c>
      <c r="F28" s="14">
        <f t="shared" si="4"/>
        <v>6.2709030100334448E-2</v>
      </c>
      <c r="G28" s="12"/>
      <c r="H28" s="15">
        <f>F28-F27</f>
        <v>1.6167829693416846E-2</v>
      </c>
      <c r="I28" s="16">
        <f>(1.96*SQRT(F28*(1-F28)/D28))*-1</f>
        <v>-1.3740190052564738E-2</v>
      </c>
      <c r="J28" s="19"/>
      <c r="K28" s="11"/>
      <c r="L28" s="12"/>
    </row>
    <row r="29" spans="1:16" x14ac:dyDescent="0.25">
      <c r="B29" s="7">
        <v>2015</v>
      </c>
      <c r="C29" s="3" t="s">
        <v>3</v>
      </c>
      <c r="D29">
        <v>4204</v>
      </c>
      <c r="E29">
        <v>211</v>
      </c>
      <c r="F29" s="4">
        <f t="shared" si="4"/>
        <v>5.0190294957183634E-2</v>
      </c>
      <c r="H29" s="8">
        <f>F29-F30</f>
        <v>-1.9069667092152229E-2</v>
      </c>
      <c r="I29" s="5">
        <f t="shared" ref="I29:I36" si="5">(1.96*SQRT(F29*(1-F29)/D29))*-1</f>
        <v>-6.6001361294831867E-3</v>
      </c>
      <c r="J29" s="6"/>
      <c r="K29" s="7"/>
    </row>
    <row r="30" spans="1:16" x14ac:dyDescent="0.25">
      <c r="B30" s="11">
        <v>2015</v>
      </c>
      <c r="C30" s="12" t="s">
        <v>4</v>
      </c>
      <c r="D30" s="13">
        <v>1054</v>
      </c>
      <c r="E30" s="13">
        <v>73</v>
      </c>
      <c r="F30" s="14">
        <f t="shared" si="4"/>
        <v>6.9259962049335863E-2</v>
      </c>
      <c r="G30" s="13"/>
      <c r="H30" s="15">
        <f>F30-F29</f>
        <v>1.9069667092152229E-2</v>
      </c>
      <c r="I30" s="16">
        <f t="shared" si="5"/>
        <v>-1.5328197543953467E-2</v>
      </c>
      <c r="J30" s="19"/>
      <c r="K30" s="11"/>
      <c r="L30" s="13"/>
    </row>
    <row r="31" spans="1:16" x14ac:dyDescent="0.25">
      <c r="B31" s="7">
        <v>2016</v>
      </c>
      <c r="C31" s="3" t="s">
        <v>3</v>
      </c>
      <c r="D31">
        <v>4340</v>
      </c>
      <c r="E31">
        <v>277</v>
      </c>
      <c r="F31" s="4">
        <f t="shared" si="4"/>
        <v>6.3824884792626727E-2</v>
      </c>
      <c r="H31" s="8">
        <f>F31-F32</f>
        <v>1.3860071281015185E-2</v>
      </c>
      <c r="I31" s="5">
        <f t="shared" si="5"/>
        <v>-7.2725174633530391E-3</v>
      </c>
      <c r="J31" s="6"/>
      <c r="K31" s="7"/>
    </row>
    <row r="32" spans="1:16" x14ac:dyDescent="0.25">
      <c r="B32" s="11">
        <v>2016</v>
      </c>
      <c r="C32" s="12" t="s">
        <v>4</v>
      </c>
      <c r="D32" s="13">
        <v>1421</v>
      </c>
      <c r="E32" s="13">
        <v>71</v>
      </c>
      <c r="F32" s="14">
        <f t="shared" si="4"/>
        <v>4.9964813511611542E-2</v>
      </c>
      <c r="G32" s="13"/>
      <c r="H32" s="15">
        <f>F32-F31</f>
        <v>-1.3860071281015185E-2</v>
      </c>
      <c r="I32" s="16">
        <f t="shared" si="5"/>
        <v>-1.1328202743158692E-2</v>
      </c>
      <c r="J32" s="19"/>
      <c r="K32" s="11"/>
      <c r="L32" s="13"/>
    </row>
    <row r="33" spans="1:16" x14ac:dyDescent="0.25">
      <c r="B33" s="7">
        <v>2017</v>
      </c>
      <c r="C33" s="3" t="s">
        <v>3</v>
      </c>
      <c r="D33">
        <v>4748</v>
      </c>
      <c r="E33">
        <v>380</v>
      </c>
      <c r="F33" s="4">
        <f t="shared" si="4"/>
        <v>8.0033698399326031E-2</v>
      </c>
      <c r="H33" s="8">
        <f>F33-F34</f>
        <v>-7.3025461421586807E-3</v>
      </c>
      <c r="I33" s="5">
        <f t="shared" si="5"/>
        <v>-7.7183260197390153E-3</v>
      </c>
      <c r="J33" s="6"/>
      <c r="K33" s="7"/>
    </row>
    <row r="34" spans="1:16" x14ac:dyDescent="0.25">
      <c r="B34" s="11">
        <v>2017</v>
      </c>
      <c r="C34" s="12" t="s">
        <v>4</v>
      </c>
      <c r="D34" s="13">
        <v>1145</v>
      </c>
      <c r="E34" s="13">
        <v>100</v>
      </c>
      <c r="F34" s="14">
        <f t="shared" si="4"/>
        <v>8.7336244541484712E-2</v>
      </c>
      <c r="G34" s="13"/>
      <c r="H34" s="15">
        <f>F34-F33</f>
        <v>7.3025461421586807E-3</v>
      </c>
      <c r="I34" s="16">
        <f t="shared" si="5"/>
        <v>-1.6353321939533674E-2</v>
      </c>
      <c r="J34" s="19"/>
      <c r="K34" s="11"/>
      <c r="L34" s="13"/>
    </row>
    <row r="35" spans="1:16" x14ac:dyDescent="0.25">
      <c r="B35" s="7">
        <v>2018</v>
      </c>
      <c r="C35" s="3" t="s">
        <v>3</v>
      </c>
      <c r="D35">
        <v>4901</v>
      </c>
      <c r="E35">
        <v>486</v>
      </c>
      <c r="F35" s="4">
        <f t="shared" si="4"/>
        <v>9.916343603346256E-2</v>
      </c>
      <c r="H35" s="8">
        <f>F35-F36</f>
        <v>-3.998313168453374E-2</v>
      </c>
      <c r="I35" s="5">
        <f t="shared" si="5"/>
        <v>-8.3678234036496206E-3</v>
      </c>
      <c r="J35" s="6">
        <f>IF((AND(H35&lt;I35,H35&lt;-0.0199999)),ROUNDUP((((F36)*E35)/F35)-E35,0),"N/A")</f>
        <v>196</v>
      </c>
      <c r="K35" s="7" t="s">
        <v>12</v>
      </c>
      <c r="P35" s="18"/>
    </row>
    <row r="36" spans="1:16" x14ac:dyDescent="0.25">
      <c r="B36" s="11">
        <v>2018</v>
      </c>
      <c r="C36" s="12" t="s">
        <v>4</v>
      </c>
      <c r="D36" s="13">
        <v>1078</v>
      </c>
      <c r="E36" s="13">
        <v>150</v>
      </c>
      <c r="F36" s="14">
        <f t="shared" si="4"/>
        <v>0.1391465677179963</v>
      </c>
      <c r="G36" s="13"/>
      <c r="H36" s="15">
        <f>F36-F35</f>
        <v>3.998313168453374E-2</v>
      </c>
      <c r="I36" s="16">
        <f t="shared" si="5"/>
        <v>-2.066081969702702E-2</v>
      </c>
      <c r="J36" s="19"/>
      <c r="K36" s="11"/>
      <c r="L36" s="13"/>
    </row>
    <row r="37" spans="1:16" x14ac:dyDescent="0.25">
      <c r="J37" s="21">
        <v>196</v>
      </c>
      <c r="K37" s="23" t="s">
        <v>27</v>
      </c>
    </row>
    <row r="38" spans="1:16" x14ac:dyDescent="0.25">
      <c r="J38" s="21">
        <f>J35/1</f>
        <v>196</v>
      </c>
      <c r="K38" s="23" t="s">
        <v>30</v>
      </c>
    </row>
    <row r="40" spans="1:16" x14ac:dyDescent="0.25">
      <c r="A40" t="s">
        <v>18</v>
      </c>
      <c r="B40" s="7">
        <v>2013</v>
      </c>
      <c r="C40" s="3" t="s">
        <v>3</v>
      </c>
      <c r="D40">
        <v>1584</v>
      </c>
      <c r="E40">
        <v>195</v>
      </c>
      <c r="F40" s="4">
        <f t="shared" ref="F40:F49" si="6">E40/D40</f>
        <v>0.12310606060606061</v>
      </c>
      <c r="G40" s="3"/>
      <c r="H40" s="8">
        <f>F40-F41</f>
        <v>-0.17921952078928821</v>
      </c>
      <c r="I40" s="5">
        <f>(1.96*SQRT(F40*(1-F40)/D40))*-1</f>
        <v>-1.6180492408444418E-2</v>
      </c>
      <c r="J40" s="6">
        <f>IF((AND(H40&lt;I40,H40&lt;-0.0199999)),ROUNDUP((((F41)*E40)/F40)-E40,0),"N/A")</f>
        <v>284</v>
      </c>
      <c r="K40" s="7" t="s">
        <v>12</v>
      </c>
      <c r="L40" s="3"/>
    </row>
    <row r="41" spans="1:16" x14ac:dyDescent="0.25">
      <c r="A41" t="s">
        <v>20</v>
      </c>
      <c r="B41" s="11">
        <v>2013</v>
      </c>
      <c r="C41" s="12" t="s">
        <v>4</v>
      </c>
      <c r="D41" s="13">
        <v>387</v>
      </c>
      <c r="E41" s="13">
        <v>117</v>
      </c>
      <c r="F41" s="14">
        <f t="shared" si="6"/>
        <v>0.30232558139534882</v>
      </c>
      <c r="G41" s="12"/>
      <c r="H41" s="15">
        <f>F41-F40</f>
        <v>0.17921952078928821</v>
      </c>
      <c r="I41" s="16">
        <f>(1.96*SQRT(F41*(1-F41)/D41))*-1</f>
        <v>-4.575772635677975E-2</v>
      </c>
      <c r="J41" s="19"/>
      <c r="K41" s="11"/>
      <c r="L41" s="12"/>
    </row>
    <row r="42" spans="1:16" x14ac:dyDescent="0.25">
      <c r="B42" s="7">
        <v>2014</v>
      </c>
      <c r="C42" s="3" t="s">
        <v>3</v>
      </c>
      <c r="D42">
        <v>1519</v>
      </c>
      <c r="E42">
        <v>218</v>
      </c>
      <c r="F42" s="4">
        <f t="shared" si="6"/>
        <v>0.14351547070441079</v>
      </c>
      <c r="H42" s="8">
        <f>F42-F43</f>
        <v>-0.1638697588365074</v>
      </c>
      <c r="I42" s="5">
        <f t="shared" ref="I42:I49" si="7">(1.96*SQRT(F42*(1-F42)/D42))*-1</f>
        <v>-1.7631379999450331E-2</v>
      </c>
      <c r="J42" s="6">
        <f>IF((AND(H42&lt;I42,H42&lt;-0.0199999)),ROUNDUP((((F43)*E42)/F42)-E42,0),"N/A")</f>
        <v>249</v>
      </c>
      <c r="K42" s="7" t="s">
        <v>12</v>
      </c>
    </row>
    <row r="43" spans="1:16" x14ac:dyDescent="0.25">
      <c r="B43" s="11">
        <v>2014</v>
      </c>
      <c r="C43" s="12" t="s">
        <v>4</v>
      </c>
      <c r="D43" s="13">
        <v>501</v>
      </c>
      <c r="E43" s="13">
        <v>154</v>
      </c>
      <c r="F43" s="14">
        <f t="shared" si="6"/>
        <v>0.30738522954091818</v>
      </c>
      <c r="G43" s="13"/>
      <c r="H43" s="15">
        <f>F43-F42</f>
        <v>0.1638697588365074</v>
      </c>
      <c r="I43" s="16">
        <f t="shared" si="7"/>
        <v>-4.0404020275159443E-2</v>
      </c>
      <c r="J43" s="19"/>
      <c r="K43" s="11"/>
      <c r="L43" s="13"/>
    </row>
    <row r="44" spans="1:16" x14ac:dyDescent="0.25">
      <c r="B44" s="7">
        <v>2015</v>
      </c>
      <c r="C44" s="3" t="s">
        <v>3</v>
      </c>
      <c r="D44">
        <v>1818</v>
      </c>
      <c r="E44">
        <v>252</v>
      </c>
      <c r="F44" s="4">
        <f t="shared" si="6"/>
        <v>0.13861386138613863</v>
      </c>
      <c r="H44" s="8">
        <f>F44-F45</f>
        <v>-0.12160119237730221</v>
      </c>
      <c r="I44" s="5">
        <f t="shared" si="7"/>
        <v>-1.5884055735155767E-2</v>
      </c>
      <c r="J44" s="6">
        <f>IF((AND(H44&lt;I44,H44&lt;-0.0199999)),ROUNDUP((((F45)*E44)/F44)-E44,0),"N/A")</f>
        <v>222</v>
      </c>
      <c r="K44" s="7" t="s">
        <v>12</v>
      </c>
    </row>
    <row r="45" spans="1:16" x14ac:dyDescent="0.25">
      <c r="B45" s="11">
        <v>2015</v>
      </c>
      <c r="C45" s="12" t="s">
        <v>4</v>
      </c>
      <c r="D45" s="13">
        <v>465</v>
      </c>
      <c r="E45" s="13">
        <v>121</v>
      </c>
      <c r="F45" s="14">
        <f t="shared" si="6"/>
        <v>0.26021505376344084</v>
      </c>
      <c r="G45" s="13"/>
      <c r="H45" s="15">
        <f>F45-F44</f>
        <v>0.12160119237730221</v>
      </c>
      <c r="I45" s="16">
        <f t="shared" si="7"/>
        <v>-3.9879393837976999E-2</v>
      </c>
      <c r="J45" s="19"/>
      <c r="K45" s="11"/>
      <c r="L45" s="13"/>
    </row>
    <row r="46" spans="1:16" x14ac:dyDescent="0.25">
      <c r="B46" s="7">
        <v>2016</v>
      </c>
      <c r="C46" s="3" t="s">
        <v>3</v>
      </c>
      <c r="D46">
        <v>1874</v>
      </c>
      <c r="E46">
        <v>292</v>
      </c>
      <c r="F46" s="4">
        <f t="shared" si="6"/>
        <v>0.15581643543223053</v>
      </c>
      <c r="H46" s="8">
        <f>F46-F47</f>
        <v>-3.8912700731751904E-2</v>
      </c>
      <c r="I46" s="5">
        <f t="shared" si="7"/>
        <v>-1.6420877332554425E-2</v>
      </c>
      <c r="J46" s="6">
        <f>IF((AND(H46&lt;I46,H46&lt;-0.0199999)),ROUNDUP((((F47)*E46)/F46)-E46,0),"N/A")</f>
        <v>73</v>
      </c>
      <c r="K46" s="7" t="s">
        <v>12</v>
      </c>
    </row>
    <row r="47" spans="1:16" x14ac:dyDescent="0.25">
      <c r="B47" s="11">
        <v>2016</v>
      </c>
      <c r="C47" s="12" t="s">
        <v>4</v>
      </c>
      <c r="D47" s="13">
        <v>683</v>
      </c>
      <c r="E47" s="13">
        <v>133</v>
      </c>
      <c r="F47" s="14">
        <f t="shared" si="6"/>
        <v>0.19472913616398244</v>
      </c>
      <c r="G47" s="13"/>
      <c r="H47" s="15">
        <f>F47-F46</f>
        <v>3.8912700731751904E-2</v>
      </c>
      <c r="I47" s="16">
        <f t="shared" si="7"/>
        <v>-2.9698340418799509E-2</v>
      </c>
      <c r="J47" s="19"/>
      <c r="K47" s="11"/>
      <c r="L47" s="13"/>
    </row>
    <row r="48" spans="1:16" x14ac:dyDescent="0.25">
      <c r="B48" s="7">
        <v>2017</v>
      </c>
      <c r="C48" s="3" t="s">
        <v>3</v>
      </c>
      <c r="D48">
        <v>2185</v>
      </c>
      <c r="E48">
        <v>365</v>
      </c>
      <c r="F48" s="4">
        <f t="shared" si="6"/>
        <v>0.16704805491990846</v>
      </c>
      <c r="H48" s="8">
        <f>F48-F49</f>
        <v>-7.3566279551081304E-2</v>
      </c>
      <c r="I48" s="5">
        <f t="shared" si="7"/>
        <v>-1.5640874654538488E-2</v>
      </c>
      <c r="J48" s="6">
        <f>IF((AND(H48&lt;I48,H48&lt;-0.0199999)),ROUNDUP((((F49)*E48)/F48)-E48,0),"N/A")</f>
        <v>161</v>
      </c>
      <c r="K48" s="7" t="s">
        <v>12</v>
      </c>
    </row>
    <row r="49" spans="1:16" x14ac:dyDescent="0.25">
      <c r="B49" s="11">
        <v>2017</v>
      </c>
      <c r="C49" s="12" t="s">
        <v>4</v>
      </c>
      <c r="D49" s="13">
        <v>586</v>
      </c>
      <c r="E49" s="13">
        <v>141</v>
      </c>
      <c r="F49" s="14">
        <f t="shared" si="6"/>
        <v>0.24061433447098976</v>
      </c>
      <c r="G49" s="13"/>
      <c r="H49" s="15">
        <f>F49-F48</f>
        <v>7.3566279551081304E-2</v>
      </c>
      <c r="I49" s="16">
        <f t="shared" si="7"/>
        <v>-3.4609809523835224E-2</v>
      </c>
      <c r="J49" s="19"/>
      <c r="K49" s="11"/>
      <c r="L49" s="13"/>
      <c r="P49" s="18"/>
    </row>
    <row r="50" spans="1:16" x14ac:dyDescent="0.25">
      <c r="J50" s="21">
        <f>J40+J42+J44+J46+J48</f>
        <v>989</v>
      </c>
      <c r="K50" s="23" t="s">
        <v>26</v>
      </c>
      <c r="P50" s="1"/>
    </row>
    <row r="51" spans="1:16" x14ac:dyDescent="0.25">
      <c r="J51" s="21">
        <f>J50/5</f>
        <v>197.8</v>
      </c>
      <c r="K51" s="23" t="s">
        <v>30</v>
      </c>
    </row>
    <row r="54" spans="1:16" x14ac:dyDescent="0.25">
      <c r="A54" t="s">
        <v>47</v>
      </c>
    </row>
    <row r="67" spans="15:18" x14ac:dyDescent="0.25">
      <c r="O67" s="24" t="s">
        <v>36</v>
      </c>
      <c r="P67" s="7" t="s">
        <v>34</v>
      </c>
      <c r="Q67" s="11" t="s">
        <v>31</v>
      </c>
      <c r="R67" s="18" t="s">
        <v>32</v>
      </c>
    </row>
    <row r="68" spans="15:18" x14ac:dyDescent="0.25">
      <c r="Q68" s="7" t="s">
        <v>35</v>
      </c>
      <c r="R68" s="18" t="s">
        <v>33</v>
      </c>
    </row>
    <row r="70" spans="15:18" x14ac:dyDescent="0.25">
      <c r="Q70">
        <f>(3*(426+196+989)/9)</f>
        <v>537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1C91C-C55E-44F0-BCDC-8F4B53587B7C}">
  <dimension ref="A1:B14"/>
  <sheetViews>
    <sheetView tabSelected="1" topLeftCell="A4" workbookViewId="0">
      <selection activeCell="G36" sqref="G36"/>
    </sheetView>
  </sheetViews>
  <sheetFormatPr defaultRowHeight="15" x14ac:dyDescent="0.25"/>
  <cols>
    <col min="1" max="1" width="10.28515625" bestFit="1" customWidth="1"/>
  </cols>
  <sheetData>
    <row r="1" spans="1:2" x14ac:dyDescent="0.25">
      <c r="A1" t="s">
        <v>8</v>
      </c>
      <c r="B1" t="s">
        <v>42</v>
      </c>
    </row>
    <row r="2" spans="1:2" x14ac:dyDescent="0.25">
      <c r="B2" s="25" t="s">
        <v>43</v>
      </c>
    </row>
    <row r="4" spans="1:2" x14ac:dyDescent="0.25">
      <c r="A4" t="s">
        <v>9</v>
      </c>
      <c r="B4" t="s">
        <v>37</v>
      </c>
    </row>
    <row r="5" spans="1:2" x14ac:dyDescent="0.25">
      <c r="B5" t="s">
        <v>38</v>
      </c>
    </row>
    <row r="7" spans="1:2" x14ac:dyDescent="0.25">
      <c r="B7" t="s">
        <v>39</v>
      </c>
    </row>
    <row r="8" spans="1:2" x14ac:dyDescent="0.25">
      <c r="B8" t="s">
        <v>40</v>
      </c>
    </row>
    <row r="9" spans="1:2" x14ac:dyDescent="0.25">
      <c r="B9" t="s">
        <v>41</v>
      </c>
    </row>
    <row r="12" spans="1:2" x14ac:dyDescent="0.25">
      <c r="A12" t="s">
        <v>10</v>
      </c>
      <c r="B12" t="s">
        <v>44</v>
      </c>
    </row>
    <row r="13" spans="1:2" x14ac:dyDescent="0.25">
      <c r="B13" t="s">
        <v>45</v>
      </c>
    </row>
    <row r="14" spans="1:2" x14ac:dyDescent="0.25">
      <c r="B14" t="s">
        <v>46</v>
      </c>
    </row>
  </sheetData>
  <hyperlinks>
    <hyperlink ref="B2" r:id="rId1" display="https://launchboard-resources.wested.org/resources/113" xr:uid="{FC493DC0-E1A4-421A-9B10-ADF947D5DAE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Economically Disadvantaged</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Sooyeon Kim</dc:creator>
  <cp:lastModifiedBy>Sooyeon Kim</cp:lastModifiedBy>
  <dcterms:created xsi:type="dcterms:W3CDTF">2022-10-15T06:25:08Z</dcterms:created>
  <dcterms:modified xsi:type="dcterms:W3CDTF">2022-10-15T21:40:40Z</dcterms:modified>
</cp:coreProperties>
</file>