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2.xml" ContentType="application/vnd.openxmlformats-officedocument.spreadsheetml.comments+xml"/>
  <Override PartName="/xl/pivotTables/pivotTable4.xml" ContentType="application/vnd.openxmlformats-officedocument.spreadsheetml.pivotTable+xml"/>
  <Override PartName="/xl/comments3.xml" ContentType="application/vnd.openxmlformats-officedocument.spreadsheetml.comments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udgets\FY 21-22\Tentative Budget\DO Stuff\Compiled Documents\"/>
    </mc:Choice>
  </mc:AlternateContent>
  <xr:revisionPtr revIDLastSave="0" documentId="8_{176410D6-7F30-40AC-B345-99306890BAEC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Summary" sheetId="6" r:id="rId1"/>
    <sheet name="DO Labor 22" sheetId="54" r:id="rId2"/>
    <sheet name="DO Non Labor Pivot 22" sheetId="52" r:id="rId3"/>
    <sheet name="DO Non Labor Pivot 21" sheetId="53" r:id="rId4"/>
    <sheet name="DO_Non-Labor Tentative 22" sheetId="37" r:id="rId5"/>
    <sheet name="GU001_STRS_PERS_PT" sheetId="48" r:id="rId6"/>
    <sheet name="Sheet1" sheetId="55" r:id="rId7"/>
    <sheet name="21-22 DO_Labor_Tentative" sheetId="38" r:id="rId8"/>
    <sheet name="Health Benefit Change" sheetId="49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7" hidden="1">'21-22 DO_Labor_Tentative'!$B$5:$AN$183</definedName>
    <definedName name="_xlnm._FilterDatabase" localSheetId="4" hidden="1">'DO_Non-Labor Tentative 22'!$A$4:$T$372</definedName>
    <definedName name="_xlnm.Print_Area" localSheetId="0">Summary!$A$1:$J$60</definedName>
  </definedNames>
  <calcPr calcId="191028" calcCompleted="0"/>
  <pivotCaches>
    <pivotCache cacheId="7357" r:id="rId14"/>
    <pivotCache cacheId="7358" r:id="rId15"/>
    <pivotCache cacheId="7359" r:id="rId16"/>
    <pivotCache cacheId="7360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6" l="1"/>
  <c r="J25" i="6" l="1"/>
  <c r="J26" i="6"/>
  <c r="J27" i="6"/>
  <c r="F28" i="6"/>
  <c r="J28" i="6" s="1"/>
  <c r="F24" i="6"/>
  <c r="J24" i="6" s="1"/>
  <c r="M43" i="55" l="1"/>
  <c r="M42" i="55"/>
  <c r="M41" i="55"/>
  <c r="M40" i="55"/>
  <c r="M39" i="55"/>
  <c r="M38" i="55"/>
  <c r="M37" i="55"/>
  <c r="M36" i="55"/>
  <c r="M6" i="55"/>
  <c r="M7" i="55"/>
  <c r="M8" i="55"/>
  <c r="M9" i="55"/>
  <c r="M10" i="55"/>
  <c r="M11" i="55"/>
  <c r="M12" i="55"/>
  <c r="M13" i="55"/>
  <c r="M14" i="55"/>
  <c r="M15" i="55"/>
  <c r="M16" i="55"/>
  <c r="M17" i="55"/>
  <c r="M18" i="55"/>
  <c r="M19" i="55"/>
  <c r="M20" i="55"/>
  <c r="M21" i="55"/>
  <c r="M22" i="55"/>
  <c r="M23" i="55"/>
  <c r="M24" i="55"/>
  <c r="M25" i="55"/>
  <c r="M26" i="55"/>
  <c r="M27" i="55"/>
  <c r="M28" i="55"/>
  <c r="M29" i="55"/>
  <c r="M30" i="55"/>
  <c r="M31" i="55"/>
  <c r="M32" i="55"/>
  <c r="M33" i="55"/>
  <c r="M34" i="55"/>
  <c r="M35" i="55"/>
  <c r="M5" i="55"/>
  <c r="J14" i="6" l="1"/>
  <c r="J15" i="6"/>
  <c r="J18" i="6"/>
  <c r="J8" i="6"/>
  <c r="I6" i="6"/>
  <c r="H6" i="6"/>
  <c r="G6" i="6"/>
  <c r="B6" i="6"/>
  <c r="E6" i="6"/>
  <c r="D6" i="6"/>
  <c r="C6" i="6"/>
  <c r="J23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6" i="6" l="1"/>
  <c r="AJ74" i="38"/>
  <c r="AA74" i="38"/>
  <c r="Z74" i="38"/>
  <c r="W74" i="38"/>
  <c r="AE74" i="38" s="1"/>
  <c r="H74" i="38"/>
  <c r="AP74" i="38" s="1"/>
  <c r="AM75" i="38"/>
  <c r="AK75" i="38"/>
  <c r="AJ75" i="38"/>
  <c r="AA75" i="38"/>
  <c r="Z75" i="38"/>
  <c r="W75" i="38"/>
  <c r="AE75" i="38" s="1"/>
  <c r="H75" i="38"/>
  <c r="AP75" i="38" s="1"/>
  <c r="AH75" i="38" l="1"/>
  <c r="AH74" i="38"/>
  <c r="AO74" i="38"/>
  <c r="AG74" i="38"/>
  <c r="AK74" i="38"/>
  <c r="AM74" i="38"/>
  <c r="AN74" i="38"/>
  <c r="AO75" i="38"/>
  <c r="AG75" i="38"/>
  <c r="AN75" i="38"/>
  <c r="D17" i="48"/>
  <c r="F17" i="48"/>
  <c r="J22" i="6"/>
  <c r="V102" i="38"/>
  <c r="V101" i="38"/>
  <c r="Q313" i="37"/>
  <c r="J68" i="6" l="1"/>
  <c r="D7" i="52" l="1"/>
  <c r="B52" i="6" l="1"/>
  <c r="I49" i="6" l="1"/>
  <c r="H49" i="6"/>
  <c r="G49" i="6"/>
  <c r="F49" i="6"/>
  <c r="E49" i="6"/>
  <c r="D49" i="6"/>
  <c r="C49" i="6"/>
  <c r="B49" i="6"/>
  <c r="I47" i="6"/>
  <c r="H47" i="6"/>
  <c r="G47" i="6"/>
  <c r="F47" i="6"/>
  <c r="E47" i="6"/>
  <c r="D47" i="6"/>
  <c r="C47" i="6"/>
  <c r="B47" i="6"/>
  <c r="O37" i="37" l="1"/>
  <c r="O38" i="37"/>
  <c r="O263" i="37"/>
  <c r="O90" i="37"/>
  <c r="O74" i="37"/>
  <c r="O73" i="37"/>
  <c r="O72" i="37"/>
  <c r="O69" i="37"/>
  <c r="F52" i="6" l="1"/>
  <c r="C4" i="49" l="1"/>
  <c r="C6" i="49" s="1"/>
  <c r="C10" i="49" l="1"/>
  <c r="C9" i="49"/>
  <c r="C8" i="49"/>
  <c r="C5" i="49"/>
  <c r="C7" i="49"/>
  <c r="C13" i="49"/>
  <c r="C12" i="49"/>
  <c r="C11" i="49"/>
  <c r="C14" i="49"/>
  <c r="I8" i="48"/>
  <c r="J8" i="48"/>
  <c r="K8" i="48"/>
  <c r="G8" i="48"/>
  <c r="C8" i="48"/>
  <c r="E8" i="48"/>
  <c r="C9" i="48"/>
  <c r="F8" i="48"/>
  <c r="D8" i="48"/>
  <c r="H8" i="48"/>
  <c r="F9" i="48"/>
  <c r="H17" i="6" l="1"/>
  <c r="D17" i="6"/>
  <c r="E17" i="6"/>
  <c r="D16" i="6"/>
  <c r="F17" i="6"/>
  <c r="I17" i="6"/>
  <c r="G17" i="6"/>
  <c r="G16" i="6"/>
  <c r="B17" i="6"/>
  <c r="L9" i="48"/>
  <c r="B8" i="48"/>
  <c r="J16" i="6" l="1"/>
  <c r="C17" i="6"/>
  <c r="J17" i="6" s="1"/>
  <c r="L8" i="48"/>
  <c r="D26" i="48"/>
  <c r="E26" i="48" s="1"/>
  <c r="F25" i="48"/>
  <c r="G25" i="48" s="1"/>
  <c r="D25" i="48"/>
  <c r="E25" i="48" s="1"/>
  <c r="D23" i="48"/>
  <c r="E23" i="48" s="1"/>
  <c r="F22" i="48"/>
  <c r="G22" i="48" s="1"/>
  <c r="D22" i="48"/>
  <c r="E22" i="48" s="1"/>
  <c r="D20" i="48"/>
  <c r="E20" i="48" s="1"/>
  <c r="F19" i="48"/>
  <c r="G19" i="48" s="1"/>
  <c r="D19" i="48"/>
  <c r="E19" i="48" s="1"/>
  <c r="F21" i="48"/>
  <c r="G21" i="48" s="1"/>
  <c r="D24" i="48"/>
  <c r="E24" i="48" s="1"/>
  <c r="F20" i="48" l="1"/>
  <c r="G20" i="48" s="1"/>
  <c r="F23" i="48"/>
  <c r="G23" i="48" s="1"/>
  <c r="F26" i="48"/>
  <c r="G26" i="48" s="1"/>
  <c r="D18" i="48"/>
  <c r="D27" i="48"/>
  <c r="E27" i="48" s="1"/>
  <c r="F18" i="48"/>
  <c r="F24" i="48"/>
  <c r="G24" i="48" s="1"/>
  <c r="F27" i="48"/>
  <c r="G27" i="48" s="1"/>
  <c r="D21" i="48"/>
  <c r="E21" i="48" s="1"/>
  <c r="E18" i="48" l="1"/>
  <c r="E28" i="48" s="1"/>
  <c r="D28" i="48"/>
  <c r="G18" i="48"/>
  <c r="F28" i="48"/>
  <c r="G28" i="48" l="1"/>
  <c r="W168" i="38" l="1"/>
  <c r="AE168" i="38" s="1"/>
  <c r="Z168" i="38"/>
  <c r="AA168" i="38"/>
  <c r="AJ168" i="38"/>
  <c r="W169" i="38"/>
  <c r="AM169" i="38" s="1"/>
  <c r="Z169" i="38"/>
  <c r="AA169" i="38"/>
  <c r="AJ169" i="38"/>
  <c r="W170" i="38"/>
  <c r="AE170" i="38" s="1"/>
  <c r="Z170" i="38"/>
  <c r="AA170" i="38"/>
  <c r="AJ170" i="38"/>
  <c r="W171" i="38"/>
  <c r="AK171" i="38" s="1"/>
  <c r="Z171" i="38"/>
  <c r="AA171" i="38"/>
  <c r="AJ171" i="38"/>
  <c r="W172" i="38"/>
  <c r="AG172" i="38" s="1"/>
  <c r="Z172" i="38"/>
  <c r="AA172" i="38"/>
  <c r="AJ172" i="38"/>
  <c r="W21" i="38"/>
  <c r="AG21" i="38" s="1"/>
  <c r="Z21" i="38"/>
  <c r="AA21" i="38"/>
  <c r="AJ21" i="38"/>
  <c r="AH21" i="38" l="1"/>
  <c r="AN169" i="38"/>
  <c r="AH168" i="38"/>
  <c r="AN171" i="38"/>
  <c r="AK170" i="38"/>
  <c r="AN172" i="38"/>
  <c r="AH171" i="38"/>
  <c r="AH170" i="38"/>
  <c r="AG171" i="38"/>
  <c r="AM21" i="38"/>
  <c r="AE172" i="38"/>
  <c r="AN21" i="38"/>
  <c r="AE171" i="38"/>
  <c r="AK21" i="38"/>
  <c r="AN168" i="38"/>
  <c r="AN170" i="38"/>
  <c r="AM170" i="38"/>
  <c r="AM171" i="38"/>
  <c r="AM172" i="38"/>
  <c r="AG170" i="38"/>
  <c r="AM168" i="38"/>
  <c r="AH169" i="38"/>
  <c r="AK168" i="38"/>
  <c r="AG169" i="38"/>
  <c r="AK169" i="38"/>
  <c r="AK172" i="38"/>
  <c r="AE21" i="38"/>
  <c r="AH172" i="38"/>
  <c r="AE169" i="38"/>
  <c r="AG168" i="38"/>
  <c r="V118" i="38"/>
  <c r="AA80" i="38"/>
  <c r="Z80" i="38"/>
  <c r="W80" i="38"/>
  <c r="AJ80" i="38" s="1"/>
  <c r="H80" i="38"/>
  <c r="Z79" i="38"/>
  <c r="AA79" i="38"/>
  <c r="AH80" i="38" l="1"/>
  <c r="AM80" i="38"/>
  <c r="AE80" i="38"/>
  <c r="AG80" i="38"/>
  <c r="AK80" i="38"/>
  <c r="AN80" i="38"/>
  <c r="AB3" i="38" l="1"/>
  <c r="AB4" i="38"/>
  <c r="H168" i="38"/>
  <c r="H169" i="38"/>
  <c r="H170" i="38"/>
  <c r="H171" i="38"/>
  <c r="H172" i="38"/>
  <c r="H21" i="38"/>
  <c r="AJ92" i="38"/>
  <c r="AA92" i="38"/>
  <c r="Z92" i="38"/>
  <c r="W92" i="38"/>
  <c r="AK92" i="38" s="1"/>
  <c r="AJ183" i="38"/>
  <c r="AA183" i="38"/>
  <c r="Z183" i="38"/>
  <c r="W183" i="38"/>
  <c r="AK183" i="38" s="1"/>
  <c r="AB74" i="38" l="1"/>
  <c r="AB75" i="38"/>
  <c r="AB170" i="38"/>
  <c r="AB172" i="38"/>
  <c r="AB168" i="38"/>
  <c r="AB171" i="38"/>
  <c r="AB169" i="38"/>
  <c r="AB21" i="38"/>
  <c r="AB79" i="38"/>
  <c r="AB80" i="38"/>
  <c r="AM92" i="38"/>
  <c r="AM183" i="38"/>
  <c r="AH92" i="38"/>
  <c r="AN92" i="38"/>
  <c r="AE92" i="38"/>
  <c r="AG92" i="38"/>
  <c r="AN183" i="38"/>
  <c r="AE183" i="38"/>
  <c r="AG183" i="38"/>
  <c r="AH183" i="38"/>
  <c r="AM104" i="38" l="1"/>
  <c r="AJ104" i="38"/>
  <c r="AA104" i="38"/>
  <c r="Z104" i="38"/>
  <c r="W104" i="38"/>
  <c r="AG104" i="38" s="1"/>
  <c r="H104" i="38"/>
  <c r="U142" i="38"/>
  <c r="AA142" i="38" s="1"/>
  <c r="H142" i="38"/>
  <c r="U141" i="38"/>
  <c r="H141" i="38"/>
  <c r="U140" i="38"/>
  <c r="W140" i="38" s="1"/>
  <c r="AK140" i="38" s="1"/>
  <c r="H140" i="38"/>
  <c r="U139" i="38"/>
  <c r="Z139" i="38" s="1"/>
  <c r="H139" i="38"/>
  <c r="U138" i="38"/>
  <c r="H138" i="38"/>
  <c r="U137" i="38"/>
  <c r="AA137" i="38" s="1"/>
  <c r="H137" i="38"/>
  <c r="U136" i="38"/>
  <c r="Z136" i="38" s="1"/>
  <c r="H136" i="38"/>
  <c r="W133" i="38"/>
  <c r="AM133" i="38" s="1"/>
  <c r="H133" i="38"/>
  <c r="AM102" i="38"/>
  <c r="AJ102" i="38"/>
  <c r="AA102" i="38"/>
  <c r="Z102" i="38"/>
  <c r="W102" i="38"/>
  <c r="AN102" i="38" s="1"/>
  <c r="H102" i="38"/>
  <c r="AM101" i="38"/>
  <c r="AJ101" i="38"/>
  <c r="AA101" i="38"/>
  <c r="Z101" i="38"/>
  <c r="W101" i="38"/>
  <c r="H101" i="38"/>
  <c r="AJ119" i="38"/>
  <c r="AA119" i="38"/>
  <c r="Z119" i="38"/>
  <c r="W119" i="38"/>
  <c r="AM119" i="38" s="1"/>
  <c r="H119" i="38"/>
  <c r="AJ112" i="38"/>
  <c r="AA112" i="38"/>
  <c r="Z112" i="38"/>
  <c r="W112" i="38"/>
  <c r="AM112" i="38" s="1"/>
  <c r="H112" i="38"/>
  <c r="AA59" i="38"/>
  <c r="Z59" i="38"/>
  <c r="W59" i="38"/>
  <c r="AM59" i="38" s="1"/>
  <c r="H59" i="38"/>
  <c r="AA58" i="38"/>
  <c r="Z58" i="38"/>
  <c r="W58" i="38"/>
  <c r="AM58" i="38" s="1"/>
  <c r="H58" i="38"/>
  <c r="AA37" i="38"/>
  <c r="Z37" i="38"/>
  <c r="W37" i="38"/>
  <c r="AM37" i="38" s="1"/>
  <c r="H37" i="38"/>
  <c r="AA24" i="38"/>
  <c r="Z24" i="38"/>
  <c r="W24" i="38"/>
  <c r="AK24" i="38" s="1"/>
  <c r="H24" i="38"/>
  <c r="AA23" i="38"/>
  <c r="Z23" i="38"/>
  <c r="W23" i="38"/>
  <c r="H23" i="38"/>
  <c r="AJ151" i="38"/>
  <c r="AA151" i="38"/>
  <c r="Z151" i="38"/>
  <c r="W151" i="38"/>
  <c r="AM151" i="38" s="1"/>
  <c r="H151" i="38"/>
  <c r="AJ158" i="38"/>
  <c r="AA158" i="38"/>
  <c r="Z158" i="38"/>
  <c r="W158" i="38"/>
  <c r="AE158" i="38" s="1"/>
  <c r="H158" i="38"/>
  <c r="AM157" i="38"/>
  <c r="AJ157" i="38"/>
  <c r="AA157" i="38"/>
  <c r="Z157" i="38"/>
  <c r="W157" i="38"/>
  <c r="AN157" i="38" s="1"/>
  <c r="H157" i="38"/>
  <c r="AM150" i="38"/>
  <c r="AJ150" i="38"/>
  <c r="AA150" i="38"/>
  <c r="Z150" i="38"/>
  <c r="W150" i="38"/>
  <c r="H150" i="38"/>
  <c r="AJ149" i="38"/>
  <c r="AA149" i="38"/>
  <c r="Z149" i="38"/>
  <c r="W149" i="38"/>
  <c r="AH149" i="38" s="1"/>
  <c r="H149" i="38"/>
  <c r="AJ156" i="38"/>
  <c r="AA156" i="38"/>
  <c r="Z156" i="38"/>
  <c r="W156" i="38"/>
  <c r="AM156" i="38" s="1"/>
  <c r="H156" i="38"/>
  <c r="AJ155" i="38"/>
  <c r="AA155" i="38"/>
  <c r="Z155" i="38"/>
  <c r="W155" i="38"/>
  <c r="AH155" i="38" s="1"/>
  <c r="H155" i="38"/>
  <c r="AJ148" i="38"/>
  <c r="AA148" i="38"/>
  <c r="Z148" i="38"/>
  <c r="W148" i="38"/>
  <c r="H148" i="38"/>
  <c r="AJ147" i="38"/>
  <c r="AA147" i="38"/>
  <c r="Z147" i="38"/>
  <c r="W147" i="38"/>
  <c r="AM147" i="38" s="1"/>
  <c r="H147" i="38"/>
  <c r="AJ154" i="38"/>
  <c r="AA154" i="38"/>
  <c r="Z154" i="38"/>
  <c r="W154" i="38"/>
  <c r="AK154" i="38" s="1"/>
  <c r="H154" i="38"/>
  <c r="AJ153" i="38"/>
  <c r="AA153" i="38"/>
  <c r="Z153" i="38"/>
  <c r="W153" i="38"/>
  <c r="AK153" i="38" s="1"/>
  <c r="H153" i="38"/>
  <c r="AJ146" i="38"/>
  <c r="AA146" i="38"/>
  <c r="Z146" i="38"/>
  <c r="W146" i="38"/>
  <c r="AE146" i="38" s="1"/>
  <c r="H146" i="38"/>
  <c r="AJ145" i="38"/>
  <c r="AA145" i="38"/>
  <c r="Z145" i="38"/>
  <c r="W145" i="38"/>
  <c r="H145" i="38"/>
  <c r="AJ152" i="38"/>
  <c r="AA152" i="38"/>
  <c r="Z152" i="38"/>
  <c r="W152" i="38"/>
  <c r="AE152" i="38" s="1"/>
  <c r="H152" i="38"/>
  <c r="W124" i="38"/>
  <c r="AE124" i="38" s="1"/>
  <c r="H124" i="38"/>
  <c r="AM120" i="38"/>
  <c r="AJ120" i="38"/>
  <c r="AA120" i="38"/>
  <c r="Z120" i="38"/>
  <c r="W120" i="38"/>
  <c r="AK120" i="38" s="1"/>
  <c r="H120" i="38"/>
  <c r="AJ99" i="38"/>
  <c r="AA99" i="38"/>
  <c r="Z99" i="38"/>
  <c r="W99" i="38"/>
  <c r="AN99" i="38" s="1"/>
  <c r="H99" i="38"/>
  <c r="AJ114" i="38"/>
  <c r="AA114" i="38"/>
  <c r="Z114" i="38"/>
  <c r="W114" i="38"/>
  <c r="AH114" i="38" s="1"/>
  <c r="H114" i="38"/>
  <c r="AA65" i="38"/>
  <c r="Z65" i="38"/>
  <c r="W65" i="38"/>
  <c r="AM65" i="38" s="1"/>
  <c r="H65" i="38"/>
  <c r="AJ111" i="38"/>
  <c r="AA111" i="38"/>
  <c r="Z111" i="38"/>
  <c r="W111" i="38"/>
  <c r="AN111" i="38" s="1"/>
  <c r="H111" i="38"/>
  <c r="H79" i="38"/>
  <c r="AJ49" i="38"/>
  <c r="AA49" i="38"/>
  <c r="Z49" i="38"/>
  <c r="W49" i="38"/>
  <c r="AK49" i="38" s="1"/>
  <c r="H49" i="38"/>
  <c r="W191" i="38"/>
  <c r="AJ191" i="38" s="1"/>
  <c r="H191" i="38"/>
  <c r="AJ110" i="38"/>
  <c r="AA110" i="38"/>
  <c r="Z110" i="38"/>
  <c r="W110" i="38"/>
  <c r="AH110" i="38" s="1"/>
  <c r="H110" i="38"/>
  <c r="AA73" i="38"/>
  <c r="Z73" i="38"/>
  <c r="W73" i="38"/>
  <c r="AK73" i="38" s="1"/>
  <c r="H73" i="38"/>
  <c r="AA72" i="38"/>
  <c r="Z72" i="38"/>
  <c r="W72" i="38"/>
  <c r="AN72" i="38" s="1"/>
  <c r="H72" i="38"/>
  <c r="AA57" i="38"/>
  <c r="Z57" i="38"/>
  <c r="W57" i="38"/>
  <c r="AN57" i="38" s="1"/>
  <c r="AA50" i="38"/>
  <c r="Z50" i="38"/>
  <c r="W50" i="38"/>
  <c r="AM50" i="38" s="1"/>
  <c r="H50" i="38"/>
  <c r="AJ109" i="38"/>
  <c r="AA109" i="38"/>
  <c r="Z109" i="38"/>
  <c r="W109" i="38"/>
  <c r="AN109" i="38" s="1"/>
  <c r="H109" i="38"/>
  <c r="AJ88" i="38"/>
  <c r="AA88" i="38"/>
  <c r="Z88" i="38"/>
  <c r="W88" i="38"/>
  <c r="AK88" i="38" s="1"/>
  <c r="H88" i="38"/>
  <c r="AA87" i="38"/>
  <c r="Z87" i="38"/>
  <c r="W87" i="38"/>
  <c r="AM87" i="38" s="1"/>
  <c r="H87" i="38"/>
  <c r="AJ122" i="38"/>
  <c r="AA122" i="38"/>
  <c r="Z122" i="38"/>
  <c r="W122" i="38"/>
  <c r="AE122" i="38" s="1"/>
  <c r="H122" i="38"/>
  <c r="AJ89" i="38"/>
  <c r="AA89" i="38"/>
  <c r="Z89" i="38"/>
  <c r="W89" i="38"/>
  <c r="AM89" i="38" s="1"/>
  <c r="H89" i="38"/>
  <c r="W190" i="38"/>
  <c r="AM190" i="38" s="1"/>
  <c r="H190" i="38"/>
  <c r="AJ113" i="38"/>
  <c r="AA113" i="38"/>
  <c r="Z113" i="38"/>
  <c r="W113" i="38"/>
  <c r="AG113" i="38" s="1"/>
  <c r="H113" i="38"/>
  <c r="AM107" i="38"/>
  <c r="AJ107" i="38"/>
  <c r="AA107" i="38"/>
  <c r="Z107" i="38"/>
  <c r="W107" i="38"/>
  <c r="AN107" i="38" s="1"/>
  <c r="H107" i="38"/>
  <c r="AJ98" i="38"/>
  <c r="AA98" i="38"/>
  <c r="Z98" i="38"/>
  <c r="W98" i="38"/>
  <c r="AM98" i="38" s="1"/>
  <c r="H98" i="38"/>
  <c r="AJ97" i="38"/>
  <c r="AA97" i="38"/>
  <c r="Z97" i="38"/>
  <c r="W97" i="38"/>
  <c r="AN97" i="38" s="1"/>
  <c r="H97" i="38"/>
  <c r="AJ95" i="38"/>
  <c r="AA95" i="38"/>
  <c r="Z95" i="38"/>
  <c r="W95" i="38"/>
  <c r="AK95" i="38" s="1"/>
  <c r="H95" i="38"/>
  <c r="AJ94" i="38"/>
  <c r="AA94" i="38"/>
  <c r="Z94" i="38"/>
  <c r="W94" i="38"/>
  <c r="AH94" i="38" s="1"/>
  <c r="H94" i="38"/>
  <c r="AA83" i="38"/>
  <c r="Z83" i="38"/>
  <c r="W83" i="38"/>
  <c r="AK83" i="38" s="1"/>
  <c r="H83" i="38"/>
  <c r="AA188" i="38"/>
  <c r="Z188" i="38"/>
  <c r="W188" i="38"/>
  <c r="AG188" i="38" s="1"/>
  <c r="H188" i="38"/>
  <c r="AA34" i="38"/>
  <c r="Z34" i="38"/>
  <c r="W34" i="38"/>
  <c r="H34" i="38"/>
  <c r="AJ28" i="38"/>
  <c r="AA28" i="38"/>
  <c r="W28" i="38"/>
  <c r="AK28" i="38" s="1"/>
  <c r="H28" i="38"/>
  <c r="AJ27" i="38"/>
  <c r="AA27" i="38"/>
  <c r="W27" i="38"/>
  <c r="AG27" i="38" s="1"/>
  <c r="H27" i="38"/>
  <c r="AJ26" i="38"/>
  <c r="AA26" i="38"/>
  <c r="W26" i="38"/>
  <c r="AL26" i="38" s="1"/>
  <c r="H26" i="38"/>
  <c r="AJ25" i="38"/>
  <c r="AA25" i="38"/>
  <c r="W25" i="38"/>
  <c r="AL25" i="38" s="1"/>
  <c r="H25" i="38"/>
  <c r="AM129" i="38"/>
  <c r="AJ129" i="38"/>
  <c r="AA129" i="38"/>
  <c r="Z129" i="38"/>
  <c r="W129" i="38"/>
  <c r="AK129" i="38" s="1"/>
  <c r="H129" i="38"/>
  <c r="AJ121" i="38"/>
  <c r="AA121" i="38"/>
  <c r="Z121" i="38"/>
  <c r="W121" i="38"/>
  <c r="AG121" i="38" s="1"/>
  <c r="H121" i="38"/>
  <c r="AA84" i="38"/>
  <c r="Z84" i="38"/>
  <c r="W84" i="38"/>
  <c r="AJ84" i="38" s="1"/>
  <c r="H84" i="38"/>
  <c r="AJ81" i="38"/>
  <c r="AA81" i="38"/>
  <c r="Z81" i="38"/>
  <c r="W81" i="38"/>
  <c r="AH81" i="38" s="1"/>
  <c r="H81" i="38"/>
  <c r="AJ76" i="38"/>
  <c r="AA76" i="38"/>
  <c r="Z76" i="38"/>
  <c r="W76" i="38"/>
  <c r="AM76" i="38" s="1"/>
  <c r="H76" i="38"/>
  <c r="AJ63" i="38"/>
  <c r="AA63" i="38"/>
  <c r="Z63" i="38"/>
  <c r="W63" i="38"/>
  <c r="AK63" i="38" s="1"/>
  <c r="H63" i="38"/>
  <c r="AJ62" i="38"/>
  <c r="AA62" i="38"/>
  <c r="Z62" i="38"/>
  <c r="W62" i="38"/>
  <c r="AH62" i="38" s="1"/>
  <c r="H62" i="38"/>
  <c r="AJ55" i="38"/>
  <c r="AA55" i="38"/>
  <c r="Z55" i="38"/>
  <c r="W55" i="38"/>
  <c r="AE55" i="38" s="1"/>
  <c r="H55" i="38"/>
  <c r="AJ46" i="38"/>
  <c r="AA46" i="38"/>
  <c r="Z46" i="38"/>
  <c r="W46" i="38"/>
  <c r="AH46" i="38" s="1"/>
  <c r="H46" i="38"/>
  <c r="AJ43" i="38"/>
  <c r="AA43" i="38"/>
  <c r="Z43" i="38"/>
  <c r="W43" i="38"/>
  <c r="AN43" i="38" s="1"/>
  <c r="H43" i="38"/>
  <c r="AJ41" i="38"/>
  <c r="AA41" i="38"/>
  <c r="Z41" i="38"/>
  <c r="W41" i="38"/>
  <c r="AE41" i="38" s="1"/>
  <c r="H41" i="38"/>
  <c r="AJ29" i="38"/>
  <c r="AA29" i="38"/>
  <c r="Z29" i="38"/>
  <c r="W29" i="38"/>
  <c r="AN29" i="38" s="1"/>
  <c r="H29" i="38"/>
  <c r="AJ128" i="38"/>
  <c r="AA128" i="38"/>
  <c r="Z128" i="38"/>
  <c r="W128" i="38"/>
  <c r="AM128" i="38" s="1"/>
  <c r="H128" i="38"/>
  <c r="AM126" i="38"/>
  <c r="AJ126" i="38"/>
  <c r="AA126" i="38"/>
  <c r="Z126" i="38"/>
  <c r="W126" i="38"/>
  <c r="AN126" i="38" s="1"/>
  <c r="H126" i="38"/>
  <c r="AJ85" i="38"/>
  <c r="AA85" i="38"/>
  <c r="Z85" i="38"/>
  <c r="W85" i="38"/>
  <c r="AK85" i="38" s="1"/>
  <c r="H85" i="38"/>
  <c r="AJ82" i="38"/>
  <c r="AA82" i="38"/>
  <c r="Z82" i="38"/>
  <c r="W82" i="38"/>
  <c r="AM82" i="38" s="1"/>
  <c r="H82" i="38"/>
  <c r="AA78" i="38"/>
  <c r="Z78" i="38"/>
  <c r="W78" i="38"/>
  <c r="AM78" i="38" s="1"/>
  <c r="H78" i="38"/>
  <c r="AJ70" i="38"/>
  <c r="AA70" i="38"/>
  <c r="Z70" i="38"/>
  <c r="W70" i="38"/>
  <c r="AH70" i="38" s="1"/>
  <c r="H70" i="38"/>
  <c r="AJ69" i="38"/>
  <c r="AA69" i="38"/>
  <c r="Z69" i="38"/>
  <c r="W69" i="38"/>
  <c r="AN69" i="38" s="1"/>
  <c r="H69" i="38"/>
  <c r="AA187" i="38"/>
  <c r="Z187" i="38"/>
  <c r="H187" i="38"/>
  <c r="AP187" i="38" s="1"/>
  <c r="AJ64" i="38"/>
  <c r="AA64" i="38"/>
  <c r="Z64" i="38"/>
  <c r="W64" i="38"/>
  <c r="AH64" i="38" s="1"/>
  <c r="H64" i="38"/>
  <c r="AJ54" i="38"/>
  <c r="AA54" i="38"/>
  <c r="Z54" i="38"/>
  <c r="W54" i="38"/>
  <c r="AN54" i="38" s="1"/>
  <c r="H54" i="38"/>
  <c r="AJ48" i="38"/>
  <c r="AA48" i="38"/>
  <c r="Z48" i="38"/>
  <c r="W48" i="38"/>
  <c r="AM48" i="38" s="1"/>
  <c r="H48" i="38"/>
  <c r="AJ47" i="38"/>
  <c r="AA47" i="38"/>
  <c r="Z47" i="38"/>
  <c r="W47" i="38"/>
  <c r="AM47" i="38" s="1"/>
  <c r="H47" i="38"/>
  <c r="AA45" i="38"/>
  <c r="Z45" i="38"/>
  <c r="V45" i="38"/>
  <c r="H45" i="38"/>
  <c r="AJ40" i="38"/>
  <c r="AA40" i="38"/>
  <c r="Z40" i="38"/>
  <c r="W40" i="38"/>
  <c r="AN40" i="38" s="1"/>
  <c r="H40" i="38"/>
  <c r="AJ31" i="38"/>
  <c r="AA31" i="38"/>
  <c r="Z31" i="38"/>
  <c r="W31" i="38"/>
  <c r="AM31" i="38" s="1"/>
  <c r="H31" i="38"/>
  <c r="AJ30" i="38"/>
  <c r="AA30" i="38"/>
  <c r="Z30" i="38"/>
  <c r="W30" i="38"/>
  <c r="H30" i="38"/>
  <c r="AM123" i="38"/>
  <c r="AJ123" i="38"/>
  <c r="AA123" i="38"/>
  <c r="Z123" i="38"/>
  <c r="W123" i="38"/>
  <c r="AK123" i="38" s="1"/>
  <c r="H123" i="38"/>
  <c r="AJ90" i="38"/>
  <c r="AA90" i="38"/>
  <c r="Z90" i="38"/>
  <c r="W90" i="38"/>
  <c r="AG90" i="38" s="1"/>
  <c r="H90" i="38"/>
  <c r="AJ42" i="38"/>
  <c r="AA42" i="38"/>
  <c r="Z42" i="38"/>
  <c r="W42" i="38"/>
  <c r="AM42" i="38" s="1"/>
  <c r="H42" i="38"/>
  <c r="AP30" i="38" s="1"/>
  <c r="W189" i="38"/>
  <c r="AE189" i="38" s="1"/>
  <c r="H189" i="38"/>
  <c r="AM127" i="38"/>
  <c r="AJ127" i="38"/>
  <c r="AA127" i="38"/>
  <c r="Z127" i="38"/>
  <c r="W127" i="38"/>
  <c r="H127" i="38"/>
  <c r="AA91" i="38"/>
  <c r="Z91" i="38"/>
  <c r="W91" i="38"/>
  <c r="AM91" i="38" s="1"/>
  <c r="H91" i="38"/>
  <c r="AJ44" i="38"/>
  <c r="AA44" i="38"/>
  <c r="Z44" i="38"/>
  <c r="W44" i="38"/>
  <c r="AH44" i="38" s="1"/>
  <c r="H44" i="38"/>
  <c r="W144" i="38"/>
  <c r="AM144" i="38" s="1"/>
  <c r="H144" i="38"/>
  <c r="AJ116" i="38"/>
  <c r="AA116" i="38"/>
  <c r="Z116" i="38"/>
  <c r="W116" i="38"/>
  <c r="AN116" i="38" s="1"/>
  <c r="H116" i="38"/>
  <c r="AO129" i="38" s="1"/>
  <c r="AA56" i="38"/>
  <c r="Z56" i="38"/>
  <c r="W56" i="38"/>
  <c r="H56" i="38"/>
  <c r="AA52" i="38"/>
  <c r="Z52" i="38"/>
  <c r="W52" i="38"/>
  <c r="AK52" i="38" s="1"/>
  <c r="H52" i="38"/>
  <c r="AA38" i="38"/>
  <c r="Z38" i="38"/>
  <c r="W38" i="38"/>
  <c r="AM38" i="38" s="1"/>
  <c r="H38" i="38"/>
  <c r="AA35" i="38"/>
  <c r="Z35" i="38"/>
  <c r="W35" i="38"/>
  <c r="AM35" i="38" s="1"/>
  <c r="H35" i="38"/>
  <c r="AJ115" i="38"/>
  <c r="AA115" i="38"/>
  <c r="Z115" i="38"/>
  <c r="W115" i="38"/>
  <c r="H115" i="38"/>
  <c r="AA66" i="38"/>
  <c r="Z66" i="38"/>
  <c r="W66" i="38"/>
  <c r="AN66" i="38" s="1"/>
  <c r="H66" i="38"/>
  <c r="AJ117" i="38"/>
  <c r="AA117" i="38"/>
  <c r="Z117" i="38"/>
  <c r="W117" i="38"/>
  <c r="AM117" i="38" s="1"/>
  <c r="H117" i="38"/>
  <c r="AA51" i="38"/>
  <c r="Z51" i="38"/>
  <c r="W51" i="38"/>
  <c r="AK51" i="38" s="1"/>
  <c r="H51" i="38"/>
  <c r="AA33" i="38"/>
  <c r="Z33" i="38"/>
  <c r="W33" i="38"/>
  <c r="AE33" i="38" s="1"/>
  <c r="H33" i="38"/>
  <c r="W135" i="38"/>
  <c r="AM135" i="38" s="1"/>
  <c r="H135" i="38"/>
  <c r="W143" i="38"/>
  <c r="AM143" i="38" s="1"/>
  <c r="H143" i="38"/>
  <c r="AJ105" i="38"/>
  <c r="AA105" i="38"/>
  <c r="Z105" i="38"/>
  <c r="W105" i="38"/>
  <c r="AM105" i="38" s="1"/>
  <c r="H105" i="38"/>
  <c r="AA71" i="38"/>
  <c r="Z71" i="38"/>
  <c r="W71" i="38"/>
  <c r="H71" i="38"/>
  <c r="AA6" i="38"/>
  <c r="Z6" i="38"/>
  <c r="W6" i="38"/>
  <c r="AG6" i="38" s="1"/>
  <c r="H6" i="38"/>
  <c r="AA39" i="38"/>
  <c r="Z39" i="38"/>
  <c r="W39" i="38"/>
  <c r="AK39" i="38" s="1"/>
  <c r="H39" i="38"/>
  <c r="AA32" i="38"/>
  <c r="Z32" i="38"/>
  <c r="W32" i="38"/>
  <c r="AK32" i="38" s="1"/>
  <c r="H32" i="38"/>
  <c r="W134" i="38"/>
  <c r="H134" i="38"/>
  <c r="AJ130" i="38"/>
  <c r="AA130" i="38"/>
  <c r="Z130" i="38"/>
  <c r="W130" i="38"/>
  <c r="AK130" i="38" s="1"/>
  <c r="H130" i="38"/>
  <c r="AA86" i="38"/>
  <c r="Z86" i="38"/>
  <c r="W86" i="38"/>
  <c r="AK86" i="38" s="1"/>
  <c r="H86" i="38"/>
  <c r="AA77" i="38"/>
  <c r="Z77" i="38"/>
  <c r="H77" i="38"/>
  <c r="AA60" i="38"/>
  <c r="Z60" i="38"/>
  <c r="W60" i="38"/>
  <c r="AN60" i="38" s="1"/>
  <c r="H60" i="38"/>
  <c r="AA36" i="38"/>
  <c r="Z36" i="38"/>
  <c r="W36" i="38"/>
  <c r="AK36" i="38" s="1"/>
  <c r="H36" i="38"/>
  <c r="AJ131" i="38"/>
  <c r="AA131" i="38"/>
  <c r="Z131" i="38"/>
  <c r="W131" i="38"/>
  <c r="AN131" i="38" s="1"/>
  <c r="H131" i="38"/>
  <c r="AJ61" i="38"/>
  <c r="AA61" i="38"/>
  <c r="Z61" i="38"/>
  <c r="W61" i="38"/>
  <c r="AN61" i="38" s="1"/>
  <c r="H61" i="38"/>
  <c r="AA132" i="38"/>
  <c r="Z132" i="38"/>
  <c r="W132" i="38"/>
  <c r="AH132" i="38" s="1"/>
  <c r="H132" i="38"/>
  <c r="AM106" i="38"/>
  <c r="AJ106" i="38"/>
  <c r="AA106" i="38"/>
  <c r="Z106" i="38"/>
  <c r="W106" i="38"/>
  <c r="AK106" i="38" s="1"/>
  <c r="H106" i="38"/>
  <c r="AA96" i="38"/>
  <c r="Z96" i="38"/>
  <c r="W96" i="38"/>
  <c r="AN96" i="38" s="1"/>
  <c r="H96" i="38"/>
  <c r="AM177" i="38"/>
  <c r="AJ177" i="38"/>
  <c r="AA177" i="38"/>
  <c r="Z177" i="38"/>
  <c r="W177" i="38"/>
  <c r="AH177" i="38" s="1"/>
  <c r="H177" i="38"/>
  <c r="AM103" i="38"/>
  <c r="AJ103" i="38"/>
  <c r="AA103" i="38"/>
  <c r="Z103" i="38"/>
  <c r="W103" i="38"/>
  <c r="AN103" i="38" s="1"/>
  <c r="H103" i="38"/>
  <c r="AA22" i="38"/>
  <c r="Z22" i="38"/>
  <c r="W22" i="38"/>
  <c r="AM22" i="38" s="1"/>
  <c r="H22" i="38"/>
  <c r="AJ167" i="38"/>
  <c r="AA167" i="38"/>
  <c r="Z167" i="38"/>
  <c r="W167" i="38"/>
  <c r="AM167" i="38" s="1"/>
  <c r="H167" i="38"/>
  <c r="AJ166" i="38"/>
  <c r="AA166" i="38"/>
  <c r="Z166" i="38"/>
  <c r="W166" i="38"/>
  <c r="AM166" i="38" s="1"/>
  <c r="H166" i="38"/>
  <c r="AJ165" i="38"/>
  <c r="AA165" i="38"/>
  <c r="Z165" i="38"/>
  <c r="W165" i="38"/>
  <c r="AM165" i="38" s="1"/>
  <c r="H165" i="38"/>
  <c r="AJ164" i="38"/>
  <c r="AA164" i="38"/>
  <c r="Z164" i="38"/>
  <c r="W164" i="38"/>
  <c r="AM164" i="38" s="1"/>
  <c r="H164" i="38"/>
  <c r="AJ163" i="38"/>
  <c r="AA163" i="38"/>
  <c r="Z163" i="38"/>
  <c r="W163" i="38"/>
  <c r="AM163" i="38" s="1"/>
  <c r="H163" i="38"/>
  <c r="AJ15" i="38"/>
  <c r="AA15" i="38"/>
  <c r="Z15" i="38"/>
  <c r="W15" i="38"/>
  <c r="AM15" i="38" s="1"/>
  <c r="H15" i="38"/>
  <c r="AM14" i="38"/>
  <c r="AJ14" i="38"/>
  <c r="AA14" i="38"/>
  <c r="Z14" i="38"/>
  <c r="W14" i="38"/>
  <c r="AN14" i="38" s="1"/>
  <c r="H14" i="38"/>
  <c r="AM162" i="38"/>
  <c r="AJ162" i="38"/>
  <c r="AA162" i="38"/>
  <c r="Z162" i="38"/>
  <c r="W162" i="38"/>
  <c r="AK162" i="38" s="1"/>
  <c r="H162" i="38"/>
  <c r="AM160" i="38"/>
  <c r="AJ160" i="38"/>
  <c r="AA160" i="38"/>
  <c r="Z160" i="38"/>
  <c r="W160" i="38"/>
  <c r="AK160" i="38" s="1"/>
  <c r="H160" i="38"/>
  <c r="AM20" i="38"/>
  <c r="AJ20" i="38"/>
  <c r="AA20" i="38"/>
  <c r="Z20" i="38"/>
  <c r="W20" i="38"/>
  <c r="AH20" i="38" s="1"/>
  <c r="H20" i="38"/>
  <c r="AA161" i="38"/>
  <c r="Z161" i="38"/>
  <c r="W161" i="38"/>
  <c r="AM161" i="38" s="1"/>
  <c r="H161" i="38"/>
  <c r="AA13" i="38"/>
  <c r="Z13" i="38"/>
  <c r="W13" i="38"/>
  <c r="AM13" i="38" s="1"/>
  <c r="H13" i="38"/>
  <c r="AA159" i="38"/>
  <c r="Z159" i="38"/>
  <c r="W159" i="38"/>
  <c r="AM159" i="38" s="1"/>
  <c r="H159" i="38"/>
  <c r="AF19" i="38"/>
  <c r="W19" i="38"/>
  <c r="AK19" i="38" s="1"/>
  <c r="H19" i="38"/>
  <c r="AA11" i="38"/>
  <c r="Z11" i="38"/>
  <c r="W11" i="38"/>
  <c r="AK11" i="38" s="1"/>
  <c r="H11" i="38"/>
  <c r="W192" i="38"/>
  <c r="AK192" i="38" s="1"/>
  <c r="H192" i="38"/>
  <c r="AF12" i="38"/>
  <c r="W12" i="38"/>
  <c r="H12" i="38"/>
  <c r="AA18" i="38"/>
  <c r="Z18" i="38"/>
  <c r="W18" i="38"/>
  <c r="AM18" i="38" s="1"/>
  <c r="H18" i="38"/>
  <c r="W17" i="38"/>
  <c r="AH17" i="38" s="1"/>
  <c r="H17" i="38"/>
  <c r="AJ16" i="38"/>
  <c r="AA16" i="38"/>
  <c r="Z16" i="38"/>
  <c r="W16" i="38"/>
  <c r="AM16" i="38" s="1"/>
  <c r="H16" i="38"/>
  <c r="AJ180" i="38"/>
  <c r="AA180" i="38"/>
  <c r="Z180" i="38"/>
  <c r="W180" i="38"/>
  <c r="AH180" i="38" s="1"/>
  <c r="H180" i="38"/>
  <c r="AJ179" i="38"/>
  <c r="AA179" i="38"/>
  <c r="Z179" i="38"/>
  <c r="W179" i="38"/>
  <c r="AN179" i="38" s="1"/>
  <c r="H179" i="38"/>
  <c r="AJ178" i="38"/>
  <c r="AA178" i="38"/>
  <c r="Z178" i="38"/>
  <c r="W178" i="38"/>
  <c r="AH178" i="38" s="1"/>
  <c r="H178" i="38"/>
  <c r="AF176" i="38"/>
  <c r="W176" i="38"/>
  <c r="AH176" i="38" s="1"/>
  <c r="H176" i="38"/>
  <c r="AA175" i="38"/>
  <c r="Z175" i="38"/>
  <c r="W175" i="38"/>
  <c r="AM175" i="38" s="1"/>
  <c r="H175" i="38"/>
  <c r="AA174" i="38"/>
  <c r="Z174" i="38"/>
  <c r="W174" i="38"/>
  <c r="AM174" i="38" s="1"/>
  <c r="H174" i="38"/>
  <c r="AA173" i="38"/>
  <c r="Z173" i="38"/>
  <c r="W173" i="38"/>
  <c r="AE173" i="38" s="1"/>
  <c r="H173" i="38"/>
  <c r="W182" i="38"/>
  <c r="AJ182" i="38" s="1"/>
  <c r="H182" i="38"/>
  <c r="AJ125" i="38"/>
  <c r="AA125" i="38"/>
  <c r="Z125" i="38"/>
  <c r="W125" i="38"/>
  <c r="AM125" i="38" s="1"/>
  <c r="H125" i="38"/>
  <c r="AJ181" i="38"/>
  <c r="AA181" i="38"/>
  <c r="Z181" i="38"/>
  <c r="W181" i="38"/>
  <c r="AH181" i="38" s="1"/>
  <c r="H181" i="38"/>
  <c r="AJ10" i="38"/>
  <c r="AA10" i="38"/>
  <c r="Z10" i="38"/>
  <c r="W10" i="38"/>
  <c r="AH10" i="38" s="1"/>
  <c r="H10" i="38"/>
  <c r="AM9" i="38"/>
  <c r="AJ9" i="38"/>
  <c r="AA9" i="38"/>
  <c r="Z9" i="38"/>
  <c r="W9" i="38"/>
  <c r="AK9" i="38" s="1"/>
  <c r="H9" i="38"/>
  <c r="AA8" i="38"/>
  <c r="Z8" i="38"/>
  <c r="W8" i="38"/>
  <c r="H8" i="38"/>
  <c r="W7" i="38"/>
  <c r="AK7" i="38" s="1"/>
  <c r="H7" i="38"/>
  <c r="AA118" i="38"/>
  <c r="Z118" i="38"/>
  <c r="W118" i="38"/>
  <c r="AM118" i="38" s="1"/>
  <c r="H118" i="38"/>
  <c r="AJ100" i="38"/>
  <c r="AA100" i="38"/>
  <c r="Z100" i="38"/>
  <c r="W100" i="38"/>
  <c r="AL100" i="38" s="1"/>
  <c r="H100" i="38"/>
  <c r="AJ93" i="38"/>
  <c r="AA93" i="38"/>
  <c r="Z93" i="38"/>
  <c r="W93" i="38"/>
  <c r="AK93" i="38" s="1"/>
  <c r="H93" i="38"/>
  <c r="AJ108" i="38"/>
  <c r="AA108" i="38"/>
  <c r="Z108" i="38"/>
  <c r="W108" i="38"/>
  <c r="AM108" i="38" s="1"/>
  <c r="H108" i="38"/>
  <c r="AJ68" i="38"/>
  <c r="AA68" i="38"/>
  <c r="Z68" i="38"/>
  <c r="W68" i="38"/>
  <c r="AH68" i="38" s="1"/>
  <c r="H68" i="38"/>
  <c r="AJ67" i="38"/>
  <c r="AA67" i="38"/>
  <c r="Z67" i="38"/>
  <c r="W67" i="38"/>
  <c r="AM67" i="38" s="1"/>
  <c r="H67" i="38"/>
  <c r="AJ53" i="38"/>
  <c r="AA53" i="38"/>
  <c r="Z53" i="38"/>
  <c r="W53" i="38"/>
  <c r="AH53" i="38" s="1"/>
  <c r="H53" i="38"/>
  <c r="AC4" i="38"/>
  <c r="R171" i="37"/>
  <c r="Q171" i="37"/>
  <c r="R289" i="37"/>
  <c r="Q289" i="37"/>
  <c r="R257" i="37"/>
  <c r="Q257" i="37"/>
  <c r="M6" i="6"/>
  <c r="AC75" i="38" l="1"/>
  <c r="X75" i="38" s="1"/>
  <c r="Y75" i="38" s="1"/>
  <c r="AC74" i="38"/>
  <c r="X74" i="38" s="1"/>
  <c r="Y74" i="38" s="1"/>
  <c r="AP98" i="38"/>
  <c r="AO142" i="38"/>
  <c r="AJ86" i="38"/>
  <c r="AO156" i="38"/>
  <c r="AP37" i="38"/>
  <c r="AP58" i="38"/>
  <c r="R374" i="37"/>
  <c r="AP24" i="38"/>
  <c r="AO128" i="38"/>
  <c r="AO146" i="38"/>
  <c r="AO136" i="38"/>
  <c r="AC168" i="38"/>
  <c r="X168" i="38" s="1"/>
  <c r="Y168" i="38" s="1"/>
  <c r="AC169" i="38"/>
  <c r="X169" i="38" s="1"/>
  <c r="Y169" i="38" s="1"/>
  <c r="AC170" i="38"/>
  <c r="X170" i="38" s="1"/>
  <c r="Y170" i="38" s="1"/>
  <c r="AC172" i="38"/>
  <c r="X172" i="38" s="1"/>
  <c r="Y172" i="38" s="1"/>
  <c r="AC21" i="38"/>
  <c r="X21" i="38" s="1"/>
  <c r="Y21" i="38" s="1"/>
  <c r="AC171" i="38"/>
  <c r="X171" i="38" s="1"/>
  <c r="Y171" i="38" s="1"/>
  <c r="AP101" i="38"/>
  <c r="AP73" i="38"/>
  <c r="AP76" i="38"/>
  <c r="AP87" i="38"/>
  <c r="AP53" i="38"/>
  <c r="AO26" i="38"/>
  <c r="AP34" i="38"/>
  <c r="AP39" i="38"/>
  <c r="AP96" i="38"/>
  <c r="AP95" i="38"/>
  <c r="AO127" i="38"/>
  <c r="AO131" i="38"/>
  <c r="AP180" i="38"/>
  <c r="AP14" i="38"/>
  <c r="AP22" i="38"/>
  <c r="AP79" i="38"/>
  <c r="AP25" i="38"/>
  <c r="AP175" i="38"/>
  <c r="AP56" i="38"/>
  <c r="AO176" i="38"/>
  <c r="AP88" i="38"/>
  <c r="AP40" i="38"/>
  <c r="AP18" i="38"/>
  <c r="AO36" i="38"/>
  <c r="AP99" i="38"/>
  <c r="AO99" i="38"/>
  <c r="AO164" i="38"/>
  <c r="AP64" i="38"/>
  <c r="AP93" i="38"/>
  <c r="AP47" i="38"/>
  <c r="AP10" i="38"/>
  <c r="AP46" i="38"/>
  <c r="AP112" i="38"/>
  <c r="AO102" i="38"/>
  <c r="AP102" i="38"/>
  <c r="AP173" i="38"/>
  <c r="AP68" i="38"/>
  <c r="AP51" i="38"/>
  <c r="AP20" i="38"/>
  <c r="AP65" i="38"/>
  <c r="AP42" i="38"/>
  <c r="AO135" i="38"/>
  <c r="D50" i="6"/>
  <c r="G50" i="6"/>
  <c r="AC79" i="38"/>
  <c r="AC80" i="38"/>
  <c r="X80" i="38" s="1"/>
  <c r="Y80" i="38" s="1"/>
  <c r="AP38" i="38"/>
  <c r="AO112" i="38"/>
  <c r="AP111" i="38"/>
  <c r="AO30" i="38"/>
  <c r="AO18" i="38"/>
  <c r="AO37" i="38"/>
  <c r="AP19" i="38"/>
  <c r="AP132" i="38"/>
  <c r="AO121" i="38"/>
  <c r="AO12" i="38"/>
  <c r="AO14" i="38"/>
  <c r="W139" i="38"/>
  <c r="AK139" i="38" s="1"/>
  <c r="AG174" i="38"/>
  <c r="AP82" i="38"/>
  <c r="AO137" i="38"/>
  <c r="Z142" i="38"/>
  <c r="AP31" i="38"/>
  <c r="AH158" i="38"/>
  <c r="AP23" i="38"/>
  <c r="AE174" i="38"/>
  <c r="AK122" i="38"/>
  <c r="AJ133" i="38"/>
  <c r="AA140" i="38"/>
  <c r="AE100" i="38"/>
  <c r="AP125" i="38"/>
  <c r="AP121" i="38"/>
  <c r="AO16" i="38"/>
  <c r="AK104" i="38"/>
  <c r="AG26" i="38"/>
  <c r="AK107" i="38"/>
  <c r="AP145" i="38"/>
  <c r="AP161" i="38"/>
  <c r="AJ96" i="38"/>
  <c r="AO162" i="38"/>
  <c r="AO47" i="38"/>
  <c r="AH182" i="38"/>
  <c r="AO132" i="38"/>
  <c r="AK177" i="38"/>
  <c r="AO122" i="38"/>
  <c r="W79" i="38"/>
  <c r="AO78" i="38" s="1"/>
  <c r="W142" i="38"/>
  <c r="AK142" i="38" s="1"/>
  <c r="AN104" i="38"/>
  <c r="AC54" i="38"/>
  <c r="AC183" i="38"/>
  <c r="AC92" i="38"/>
  <c r="AE26" i="38"/>
  <c r="AH26" i="38"/>
  <c r="AG190" i="38"/>
  <c r="AJ190" i="38"/>
  <c r="Z140" i="38"/>
  <c r="AO10" i="38"/>
  <c r="AE104" i="38"/>
  <c r="AB183" i="38"/>
  <c r="AB92" i="38"/>
  <c r="AP108" i="38"/>
  <c r="AH104" i="38"/>
  <c r="AM64" i="38"/>
  <c r="AO29" i="38"/>
  <c r="AO68" i="38"/>
  <c r="AE36" i="38"/>
  <c r="AE61" i="38"/>
  <c r="AM36" i="38"/>
  <c r="AJ35" i="38"/>
  <c r="AN91" i="38"/>
  <c r="AO188" i="38"/>
  <c r="AH41" i="38"/>
  <c r="AM46" i="38"/>
  <c r="AM153" i="38"/>
  <c r="AO51" i="38"/>
  <c r="AN81" i="38"/>
  <c r="AO42" i="38"/>
  <c r="AO58" i="38"/>
  <c r="AN167" i="38"/>
  <c r="AK38" i="38"/>
  <c r="AH19" i="38"/>
  <c r="AO27" i="38"/>
  <c r="AO85" i="38"/>
  <c r="AM11" i="38"/>
  <c r="AE35" i="38"/>
  <c r="AN88" i="38"/>
  <c r="AK147" i="38"/>
  <c r="AO46" i="38"/>
  <c r="AJ22" i="38"/>
  <c r="AP13" i="38"/>
  <c r="AM181" i="38"/>
  <c r="AM94" i="38"/>
  <c r="AM188" i="38"/>
  <c r="AN9" i="38"/>
  <c r="AP11" i="38"/>
  <c r="AH86" i="38"/>
  <c r="AH135" i="38"/>
  <c r="AM51" i="38"/>
  <c r="AK41" i="38"/>
  <c r="AG109" i="38"/>
  <c r="AG111" i="38"/>
  <c r="W136" i="38"/>
  <c r="AK136" i="38" s="1"/>
  <c r="AH161" i="38"/>
  <c r="AJ38" i="38"/>
  <c r="AM81" i="38"/>
  <c r="AO25" i="38"/>
  <c r="W137" i="38"/>
  <c r="AJ137" i="38" s="1"/>
  <c r="AP153" i="38"/>
  <c r="AO54" i="38"/>
  <c r="AP127" i="38"/>
  <c r="Z137" i="38"/>
  <c r="AO9" i="38"/>
  <c r="AE88" i="38"/>
  <c r="AG37" i="38"/>
  <c r="AE103" i="38"/>
  <c r="AJ32" i="38"/>
  <c r="AO39" i="38"/>
  <c r="AH35" i="38"/>
  <c r="AH42" i="38"/>
  <c r="AM85" i="38"/>
  <c r="AK46" i="38"/>
  <c r="AM62" i="38"/>
  <c r="AG98" i="38"/>
  <c r="AO161" i="38"/>
  <c r="AH59" i="38"/>
  <c r="AM32" i="38"/>
  <c r="AE47" i="38"/>
  <c r="AP157" i="38"/>
  <c r="AE95" i="38"/>
  <c r="AH98" i="38"/>
  <c r="AE73" i="38"/>
  <c r="AH99" i="38"/>
  <c r="AN13" i="38"/>
  <c r="AN71" i="38"/>
  <c r="AK25" i="38"/>
  <c r="AE87" i="38"/>
  <c r="AH57" i="38"/>
  <c r="AM73" i="38"/>
  <c r="AJ23" i="38"/>
  <c r="AP6" i="38"/>
  <c r="AG19" i="38"/>
  <c r="AO53" i="38"/>
  <c r="AJ135" i="38"/>
  <c r="AP80" i="38"/>
  <c r="AM121" i="38"/>
  <c r="AP107" i="38"/>
  <c r="AN87" i="38"/>
  <c r="AJ57" i="38"/>
  <c r="AK99" i="38"/>
  <c r="AA136" i="38"/>
  <c r="AA139" i="38"/>
  <c r="AM57" i="38"/>
  <c r="AE68" i="38"/>
  <c r="AE182" i="38"/>
  <c r="AM96" i="38"/>
  <c r="AK61" i="38"/>
  <c r="AG36" i="38"/>
  <c r="AK109" i="38"/>
  <c r="AK152" i="38"/>
  <c r="AG58" i="38"/>
  <c r="AE112" i="38"/>
  <c r="AG182" i="38"/>
  <c r="AN162" i="38"/>
  <c r="AE22" i="38"/>
  <c r="AH36" i="38"/>
  <c r="AH38" i="38"/>
  <c r="AK126" i="38"/>
  <c r="AH188" i="38"/>
  <c r="AJ58" i="38"/>
  <c r="AH112" i="38"/>
  <c r="AG48" i="38"/>
  <c r="AE147" i="38"/>
  <c r="AN58" i="38"/>
  <c r="AJ7" i="38"/>
  <c r="AK182" i="38"/>
  <c r="AJ161" i="38"/>
  <c r="AN36" i="38"/>
  <c r="AK105" i="38"/>
  <c r="AN94" i="38"/>
  <c r="AM114" i="38"/>
  <c r="AG147" i="38"/>
  <c r="AM182" i="38"/>
  <c r="AN161" i="38"/>
  <c r="AO52" i="38"/>
  <c r="AN105" i="38"/>
  <c r="AH147" i="38"/>
  <c r="AH11" i="38"/>
  <c r="AH33" i="38"/>
  <c r="AE91" i="38"/>
  <c r="AO139" i="38"/>
  <c r="AP144" i="38"/>
  <c r="AO153" i="38"/>
  <c r="AK68" i="38"/>
  <c r="AE93" i="38"/>
  <c r="AG100" i="38"/>
  <c r="AN182" i="38"/>
  <c r="AH174" i="38"/>
  <c r="AK176" i="38"/>
  <c r="AG13" i="38"/>
  <c r="AG103" i="38"/>
  <c r="AJ36" i="38"/>
  <c r="AG143" i="38"/>
  <c r="AK35" i="38"/>
  <c r="AP90" i="38"/>
  <c r="AP92" i="38"/>
  <c r="AE123" i="38"/>
  <c r="W45" i="38"/>
  <c r="AM45" i="38" s="1"/>
  <c r="AH47" i="38"/>
  <c r="W187" i="38"/>
  <c r="AN46" i="38"/>
  <c r="AP115" i="38"/>
  <c r="AN121" i="38"/>
  <c r="AP122" i="38"/>
  <c r="AL28" i="38"/>
  <c r="AJ188" i="38"/>
  <c r="AG122" i="38"/>
  <c r="AP137" i="38"/>
  <c r="AH102" i="38"/>
  <c r="AK174" i="38"/>
  <c r="AE14" i="38"/>
  <c r="AH164" i="38"/>
  <c r="AM39" i="38"/>
  <c r="AH143" i="38"/>
  <c r="AO81" i="38"/>
  <c r="AP160" i="38"/>
  <c r="AK188" i="38"/>
  <c r="AM49" i="38"/>
  <c r="AN166" i="38"/>
  <c r="AP106" i="38"/>
  <c r="AJ143" i="38"/>
  <c r="AE117" i="38"/>
  <c r="AG115" i="38"/>
  <c r="AH52" i="38"/>
  <c r="AG189" i="38"/>
  <c r="AG31" i="38"/>
  <c r="AK47" i="38"/>
  <c r="AE84" i="38"/>
  <c r="AJ72" i="38"/>
  <c r="AO147" i="38"/>
  <c r="AM93" i="38"/>
  <c r="AP9" i="38"/>
  <c r="AK100" i="38"/>
  <c r="AG14" i="38"/>
  <c r="AK20" i="38"/>
  <c r="AK164" i="38"/>
  <c r="AK143" i="38"/>
  <c r="AJ52" i="38"/>
  <c r="AH189" i="38"/>
  <c r="AN47" i="38"/>
  <c r="AM54" i="38"/>
  <c r="AG84" i="38"/>
  <c r="AN93" i="38"/>
  <c r="AP17" i="38"/>
  <c r="AJ11" i="38"/>
  <c r="AE159" i="38"/>
  <c r="AE163" i="38"/>
  <c r="AH22" i="38"/>
  <c r="AO56" i="38"/>
  <c r="AE105" i="38"/>
  <c r="AN143" i="38"/>
  <c r="AK117" i="38"/>
  <c r="AO80" i="38"/>
  <c r="AN144" i="38"/>
  <c r="AJ189" i="38"/>
  <c r="AH90" i="38"/>
  <c r="AO73" i="38"/>
  <c r="AH63" i="38"/>
  <c r="AE81" i="38"/>
  <c r="AH84" i="38"/>
  <c r="AE27" i="38"/>
  <c r="AM97" i="38"/>
  <c r="AE191" i="38"/>
  <c r="AG157" i="38"/>
  <c r="AK112" i="38"/>
  <c r="AM68" i="38"/>
  <c r="AN174" i="38"/>
  <c r="AN67" i="38"/>
  <c r="AN159" i="38"/>
  <c r="AE162" i="38"/>
  <c r="AG105" i="38"/>
  <c r="AN117" i="38"/>
  <c r="AM189" i="38"/>
  <c r="AJ45" i="38"/>
  <c r="AM84" i="38"/>
  <c r="AG129" i="38"/>
  <c r="AM113" i="38"/>
  <c r="AG191" i="38"/>
  <c r="AG93" i="38"/>
  <c r="AE96" i="38"/>
  <c r="AG81" i="38"/>
  <c r="AP8" i="38"/>
  <c r="AP21" i="38"/>
  <c r="AP26" i="38"/>
  <c r="AN180" i="38"/>
  <c r="AE161" i="38"/>
  <c r="AK163" i="38"/>
  <c r="AP52" i="38"/>
  <c r="AP163" i="38"/>
  <c r="AH32" i="38"/>
  <c r="AK6" i="38"/>
  <c r="AH105" i="38"/>
  <c r="AP78" i="38"/>
  <c r="AE38" i="38"/>
  <c r="AK90" i="38"/>
  <c r="AP105" i="38"/>
  <c r="AP138" i="38"/>
  <c r="AL27" i="38"/>
  <c r="AH107" i="38"/>
  <c r="AN113" i="38"/>
  <c r="AH191" i="38"/>
  <c r="AE114" i="38"/>
  <c r="AG152" i="38"/>
  <c r="AN147" i="38"/>
  <c r="AP178" i="38"/>
  <c r="AK96" i="38"/>
  <c r="AM90" i="38"/>
  <c r="AK81" i="38"/>
  <c r="AK191" i="38"/>
  <c r="AG114" i="38"/>
  <c r="AH152" i="38"/>
  <c r="AO107" i="38"/>
  <c r="AN129" i="38"/>
  <c r="AO160" i="38"/>
  <c r="AO94" i="38"/>
  <c r="AP70" i="38"/>
  <c r="AP97" i="38"/>
  <c r="AP118" i="38"/>
  <c r="AH28" i="38"/>
  <c r="AM95" i="38"/>
  <c r="AN114" i="38"/>
  <c r="AP33" i="38"/>
  <c r="AH15" i="38"/>
  <c r="AN106" i="38"/>
  <c r="AM71" i="38"/>
  <c r="AO70" i="38"/>
  <c r="AE31" i="38"/>
  <c r="AE54" i="38"/>
  <c r="AK64" i="38"/>
  <c r="AE85" i="38"/>
  <c r="AG41" i="38"/>
  <c r="AK43" i="38"/>
  <c r="AK62" i="38"/>
  <c r="AO118" i="38"/>
  <c r="AG28" i="38"/>
  <c r="AP142" i="38"/>
  <c r="AN49" i="38"/>
  <c r="AK114" i="38"/>
  <c r="AG149" i="38"/>
  <c r="AH58" i="38"/>
  <c r="AO69" i="38"/>
  <c r="AO98" i="38"/>
  <c r="AP123" i="38"/>
  <c r="AP143" i="38"/>
  <c r="AO149" i="38"/>
  <c r="AP154" i="38"/>
  <c r="AO183" i="38"/>
  <c r="AO71" i="38"/>
  <c r="AO96" i="38"/>
  <c r="AP32" i="38"/>
  <c r="AO34" i="38"/>
  <c r="AE13" i="38"/>
  <c r="AG161" i="38"/>
  <c r="AN15" i="38"/>
  <c r="AN163" i="38"/>
  <c r="AG22" i="38"/>
  <c r="AH103" i="38"/>
  <c r="AG61" i="38"/>
  <c r="AE130" i="38"/>
  <c r="AP69" i="38"/>
  <c r="AG33" i="38"/>
  <c r="AH115" i="38"/>
  <c r="AN35" i="38"/>
  <c r="AN38" i="38"/>
  <c r="AP86" i="38"/>
  <c r="AE42" i="38"/>
  <c r="AP94" i="38"/>
  <c r="AH31" i="38"/>
  <c r="AK54" i="38"/>
  <c r="AN64" i="38"/>
  <c r="AG55" i="38"/>
  <c r="AP114" i="38"/>
  <c r="AE129" i="38"/>
  <c r="AP131" i="38"/>
  <c r="AG72" i="38"/>
  <c r="AK149" i="38"/>
  <c r="AE157" i="38"/>
  <c r="AG158" i="38"/>
  <c r="AK58" i="38"/>
  <c r="AO173" i="38"/>
  <c r="AO140" i="38"/>
  <c r="AP149" i="38"/>
  <c r="AP151" i="38"/>
  <c r="AG159" i="38"/>
  <c r="AH13" i="38"/>
  <c r="AK103" i="38"/>
  <c r="AG132" i="38"/>
  <c r="AM6" i="38"/>
  <c r="AJ33" i="38"/>
  <c r="AE66" i="38"/>
  <c r="AP81" i="38"/>
  <c r="AH91" i="38"/>
  <c r="AK31" i="38"/>
  <c r="AH48" i="38"/>
  <c r="AE69" i="38"/>
  <c r="AE78" i="38"/>
  <c r="AG82" i="38"/>
  <c r="AP110" i="38"/>
  <c r="AE128" i="38"/>
  <c r="AN41" i="38"/>
  <c r="AM55" i="38"/>
  <c r="AH129" i="38"/>
  <c r="AG95" i="38"/>
  <c r="AP135" i="38"/>
  <c r="AE89" i="38"/>
  <c r="AK72" i="38"/>
  <c r="AP150" i="38"/>
  <c r="AO152" i="38"/>
  <c r="AH157" i="38"/>
  <c r="AO181" i="38"/>
  <c r="AG10" i="38"/>
  <c r="AO15" i="38"/>
  <c r="AP36" i="38"/>
  <c r="AH159" i="38"/>
  <c r="AJ13" i="38"/>
  <c r="AK161" i="38"/>
  <c r="AO48" i="38"/>
  <c r="AK165" i="38"/>
  <c r="AN22" i="38"/>
  <c r="AJ132" i="38"/>
  <c r="AM61" i="38"/>
  <c r="AG60" i="38"/>
  <c r="AN6" i="38"/>
  <c r="AE143" i="38"/>
  <c r="AP71" i="38"/>
  <c r="AK33" i="38"/>
  <c r="AG66" i="38"/>
  <c r="AJ91" i="38"/>
  <c r="AK42" i="38"/>
  <c r="AO93" i="38"/>
  <c r="AN31" i="38"/>
  <c r="AG78" i="38"/>
  <c r="AG128" i="38"/>
  <c r="AN55" i="38"/>
  <c r="AE121" i="38"/>
  <c r="AG94" i="38"/>
  <c r="AH95" i="38"/>
  <c r="AE113" i="38"/>
  <c r="AP136" i="38"/>
  <c r="AG89" i="38"/>
  <c r="AE57" i="38"/>
  <c r="AM72" i="38"/>
  <c r="AP147" i="38"/>
  <c r="AK158" i="38"/>
  <c r="AP181" i="38"/>
  <c r="AO7" i="38"/>
  <c r="AH118" i="38"/>
  <c r="AK10" i="38"/>
  <c r="AE125" i="38"/>
  <c r="AE16" i="38"/>
  <c r="AE18" i="38"/>
  <c r="AE106" i="38"/>
  <c r="AK132" i="38"/>
  <c r="AH60" i="38"/>
  <c r="AO64" i="38"/>
  <c r="AP72" i="38"/>
  <c r="AK66" i="38"/>
  <c r="AK91" i="38"/>
  <c r="AN42" i="38"/>
  <c r="AP103" i="38"/>
  <c r="AH78" i="38"/>
  <c r="AK82" i="38"/>
  <c r="AH128" i="38"/>
  <c r="AH89" i="38"/>
  <c r="AM122" i="38"/>
  <c r="AG57" i="38"/>
  <c r="AE110" i="38"/>
  <c r="AE154" i="38"/>
  <c r="AO163" i="38"/>
  <c r="AK157" i="38"/>
  <c r="AP179" i="38"/>
  <c r="AP182" i="38"/>
  <c r="AG140" i="38"/>
  <c r="AG16" i="38"/>
  <c r="AG18" i="38"/>
  <c r="AO40" i="38"/>
  <c r="AG106" i="38"/>
  <c r="AM132" i="38"/>
  <c r="AJ60" i="38"/>
  <c r="AM66" i="38"/>
  <c r="AO91" i="38"/>
  <c r="AO100" i="38"/>
  <c r="AJ78" i="38"/>
  <c r="AO138" i="38"/>
  <c r="AG110" i="38"/>
  <c r="AE99" i="38"/>
  <c r="AN120" i="38"/>
  <c r="AP159" i="38"/>
  <c r="AG154" i="38"/>
  <c r="AO177" i="38"/>
  <c r="AO182" i="38"/>
  <c r="AP174" i="38"/>
  <c r="AH140" i="38"/>
  <c r="AH18" i="38"/>
  <c r="AH106" i="38"/>
  <c r="AN132" i="38"/>
  <c r="AK60" i="38"/>
  <c r="AO65" i="38"/>
  <c r="AP91" i="38"/>
  <c r="AO95" i="38"/>
  <c r="AO101" i="38"/>
  <c r="AK78" i="38"/>
  <c r="AK128" i="38"/>
  <c r="AP124" i="38"/>
  <c r="AK89" i="38"/>
  <c r="AG99" i="38"/>
  <c r="AH154" i="38"/>
  <c r="AJ140" i="38"/>
  <c r="AJ18" i="38"/>
  <c r="AO87" i="38"/>
  <c r="AN128" i="38"/>
  <c r="AO126" i="38"/>
  <c r="AP129" i="38"/>
  <c r="AN89" i="38"/>
  <c r="AP171" i="38"/>
  <c r="AJ118" i="38"/>
  <c r="AG125" i="38"/>
  <c r="AO24" i="38"/>
  <c r="AP41" i="38"/>
  <c r="AO60" i="38"/>
  <c r="AO86" i="38"/>
  <c r="AN78" i="38"/>
  <c r="AE67" i="38"/>
  <c r="AH93" i="38"/>
  <c r="AH100" i="38"/>
  <c r="AN125" i="38"/>
  <c r="AO20" i="38"/>
  <c r="AJ174" i="38"/>
  <c r="AG176" i="38"/>
  <c r="AK16" i="38"/>
  <c r="AK18" i="38"/>
  <c r="AE15" i="38"/>
  <c r="AG163" i="38"/>
  <c r="AP60" i="38"/>
  <c r="AN39" i="38"/>
  <c r="AG71" i="38"/>
  <c r="AG35" i="38"/>
  <c r="AG38" i="38"/>
  <c r="AG144" i="38"/>
  <c r="AH123" i="38"/>
  <c r="AG64" i="38"/>
  <c r="AO111" i="38"/>
  <c r="AG43" i="38"/>
  <c r="AP113" i="38"/>
  <c r="AG62" i="38"/>
  <c r="AO115" i="38"/>
  <c r="AK84" i="38"/>
  <c r="AN83" i="38"/>
  <c r="AO133" i="38"/>
  <c r="AP140" i="38"/>
  <c r="AN50" i="38"/>
  <c r="AO144" i="38"/>
  <c r="AK111" i="38"/>
  <c r="AN154" i="38"/>
  <c r="AO175" i="38"/>
  <c r="AP176" i="38"/>
  <c r="AE58" i="38"/>
  <c r="AG59" i="38"/>
  <c r="AE102" i="38"/>
  <c r="AK118" i="38"/>
  <c r="AH125" i="38"/>
  <c r="AH16" i="38"/>
  <c r="AE181" i="38"/>
  <c r="AN16" i="38"/>
  <c r="AN18" i="38"/>
  <c r="AG15" i="38"/>
  <c r="AH163" i="38"/>
  <c r="AP59" i="38"/>
  <c r="AH71" i="38"/>
  <c r="AK144" i="38"/>
  <c r="AO88" i="38"/>
  <c r="AG40" i="38"/>
  <c r="AP100" i="38"/>
  <c r="AE28" i="38"/>
  <c r="AP192" i="38"/>
  <c r="AO141" i="38"/>
  <c r="AP156" i="38"/>
  <c r="AC108" i="38"/>
  <c r="AC67" i="38"/>
  <c r="AB142" i="38"/>
  <c r="AB139" i="38"/>
  <c r="AB136" i="38"/>
  <c r="AB119" i="38"/>
  <c r="AB150" i="38"/>
  <c r="AB141" i="38"/>
  <c r="AB138" i="38"/>
  <c r="AB101" i="38"/>
  <c r="AB140" i="38"/>
  <c r="AB137" i="38"/>
  <c r="AB37" i="38"/>
  <c r="AB154" i="38"/>
  <c r="AB121" i="38"/>
  <c r="AB104" i="38"/>
  <c r="AB157" i="38"/>
  <c r="AB114" i="38"/>
  <c r="AB59" i="38"/>
  <c r="AB110" i="38"/>
  <c r="AB88" i="38"/>
  <c r="AB70" i="38"/>
  <c r="AB45" i="38"/>
  <c r="AB44" i="38"/>
  <c r="AB95" i="38"/>
  <c r="AB84" i="38"/>
  <c r="AB63" i="38"/>
  <c r="AB41" i="38"/>
  <c r="AB24" i="38"/>
  <c r="AB149" i="38"/>
  <c r="AB151" i="38"/>
  <c r="AB156" i="38"/>
  <c r="AB65" i="38"/>
  <c r="AB73" i="38"/>
  <c r="AB87" i="38"/>
  <c r="AB126" i="38"/>
  <c r="AB64" i="38"/>
  <c r="AB30" i="38"/>
  <c r="AB102" i="38"/>
  <c r="AB155" i="38"/>
  <c r="AB148" i="38"/>
  <c r="AB145" i="38"/>
  <c r="AB98" i="38"/>
  <c r="AB94" i="38"/>
  <c r="AB29" i="38"/>
  <c r="AB40" i="38"/>
  <c r="AB57" i="38"/>
  <c r="AB97" i="38"/>
  <c r="AB81" i="38"/>
  <c r="AB76" i="38"/>
  <c r="AB55" i="38"/>
  <c r="AB152" i="38"/>
  <c r="AB36" i="38"/>
  <c r="AB128" i="38"/>
  <c r="AB35" i="38"/>
  <c r="AB105" i="38"/>
  <c r="AB96" i="38"/>
  <c r="AB89" i="38"/>
  <c r="AB99" i="38"/>
  <c r="AB47" i="38"/>
  <c r="AB115" i="38"/>
  <c r="AB71" i="38"/>
  <c r="AB58" i="38"/>
  <c r="AB147" i="38"/>
  <c r="AB153" i="38"/>
  <c r="AB72" i="38"/>
  <c r="AB62" i="38"/>
  <c r="AB123" i="38"/>
  <c r="AB23" i="38"/>
  <c r="AB34" i="38"/>
  <c r="AB90" i="38"/>
  <c r="AB38" i="38"/>
  <c r="AB61" i="38"/>
  <c r="AB163" i="38"/>
  <c r="AB107" i="38"/>
  <c r="AB113" i="38"/>
  <c r="AB188" i="38"/>
  <c r="AB129" i="38"/>
  <c r="AB78" i="38"/>
  <c r="AB77" i="38"/>
  <c r="AB60" i="38"/>
  <c r="AB106" i="38"/>
  <c r="AB167" i="38"/>
  <c r="AB159" i="38"/>
  <c r="AB181" i="38"/>
  <c r="AB158" i="38"/>
  <c r="AB120" i="38"/>
  <c r="AB109" i="38"/>
  <c r="AB83" i="38"/>
  <c r="AB85" i="38"/>
  <c r="AB130" i="38"/>
  <c r="AB86" i="38"/>
  <c r="AB15" i="38"/>
  <c r="AB173" i="38"/>
  <c r="AB50" i="38"/>
  <c r="AB66" i="38"/>
  <c r="AB33" i="38"/>
  <c r="AB103" i="38"/>
  <c r="AB122" i="38"/>
  <c r="AB112" i="38"/>
  <c r="AB111" i="38"/>
  <c r="AB49" i="38"/>
  <c r="AB127" i="38"/>
  <c r="AB91" i="38"/>
  <c r="AB116" i="38"/>
  <c r="AB131" i="38"/>
  <c r="AB14" i="38"/>
  <c r="AB146" i="38"/>
  <c r="AB46" i="38"/>
  <c r="AB56" i="38"/>
  <c r="AB52" i="38"/>
  <c r="AB22" i="38"/>
  <c r="AB13" i="38"/>
  <c r="AB125" i="38"/>
  <c r="AB93" i="38"/>
  <c r="AN108" i="38"/>
  <c r="AO21" i="38"/>
  <c r="AE53" i="38"/>
  <c r="AN53" i="38"/>
  <c r="AO6" i="38"/>
  <c r="AK67" i="38"/>
  <c r="AC118" i="38"/>
  <c r="AG7" i="38"/>
  <c r="AB8" i="38"/>
  <c r="AN10" i="38"/>
  <c r="AC125" i="38"/>
  <c r="AG175" i="38"/>
  <c r="AE175" i="38"/>
  <c r="AN175" i="38"/>
  <c r="AP27" i="38"/>
  <c r="AK180" i="38"/>
  <c r="AO32" i="38"/>
  <c r="AH192" i="38"/>
  <c r="AP44" i="38"/>
  <c r="AO44" i="38"/>
  <c r="AP49" i="38"/>
  <c r="AO49" i="38"/>
  <c r="AO55" i="38"/>
  <c r="AP55" i="38"/>
  <c r="AK134" i="38"/>
  <c r="AC189" i="38"/>
  <c r="AC45" i="38"/>
  <c r="AG70" i="38"/>
  <c r="AG68" i="38"/>
  <c r="AB108" i="38"/>
  <c r="AG118" i="38"/>
  <c r="AH7" i="38"/>
  <c r="AC8" i="38"/>
  <c r="AK181" i="38"/>
  <c r="AP28" i="38"/>
  <c r="AO28" i="38"/>
  <c r="AP29" i="38"/>
  <c r="AM180" i="38"/>
  <c r="AP35" i="38"/>
  <c r="AO35" i="38"/>
  <c r="AJ192" i="38"/>
  <c r="AK159" i="38"/>
  <c r="AJ159" i="38"/>
  <c r="AG162" i="38"/>
  <c r="AH162" i="38"/>
  <c r="AP45" i="38"/>
  <c r="AK14" i="38"/>
  <c r="AH14" i="38"/>
  <c r="AE165" i="38"/>
  <c r="AN165" i="38"/>
  <c r="AH165" i="38"/>
  <c r="AG165" i="38"/>
  <c r="AH96" i="38"/>
  <c r="AG96" i="38"/>
  <c r="AH130" i="38"/>
  <c r="AG130" i="38"/>
  <c r="AM130" i="38"/>
  <c r="AN130" i="38"/>
  <c r="AE115" i="38"/>
  <c r="AB174" i="38"/>
  <c r="AH179" i="38"/>
  <c r="AG179" i="38"/>
  <c r="AB166" i="38"/>
  <c r="AP66" i="38"/>
  <c r="AO66" i="38"/>
  <c r="AB6" i="38"/>
  <c r="AH56" i="38"/>
  <c r="AG56" i="38"/>
  <c r="AN56" i="38"/>
  <c r="AM56" i="38"/>
  <c r="AP89" i="38"/>
  <c r="AO89" i="38"/>
  <c r="AH30" i="38"/>
  <c r="AK30" i="38"/>
  <c r="AN30" i="38"/>
  <c r="AM30" i="38"/>
  <c r="AB31" i="38"/>
  <c r="AC40" i="38"/>
  <c r="AP104" i="38"/>
  <c r="AO104" i="38"/>
  <c r="AB9" i="38"/>
  <c r="AG67" i="38"/>
  <c r="AE108" i="38"/>
  <c r="AO11" i="38"/>
  <c r="AC9" i="38"/>
  <c r="AN178" i="38"/>
  <c r="AG178" i="38"/>
  <c r="AE178" i="38"/>
  <c r="AO41" i="38"/>
  <c r="AC167" i="38"/>
  <c r="AC131" i="38"/>
  <c r="AB117" i="38"/>
  <c r="AC116" i="38"/>
  <c r="AE127" i="38"/>
  <c r="AN127" i="38"/>
  <c r="AH127" i="38"/>
  <c r="AK127" i="38"/>
  <c r="AO109" i="38"/>
  <c r="AP109" i="38"/>
  <c r="AG8" i="38"/>
  <c r="AB175" i="38"/>
  <c r="AP43" i="38"/>
  <c r="AO43" i="38"/>
  <c r="AC166" i="38"/>
  <c r="AG108" i="38"/>
  <c r="AN7" i="38"/>
  <c r="AE9" i="38"/>
  <c r="AO17" i="38"/>
  <c r="AH173" i="38"/>
  <c r="AE167" i="38"/>
  <c r="AC96" i="38"/>
  <c r="AH8" i="38"/>
  <c r="AN181" i="38"/>
  <c r="AG173" i="38"/>
  <c r="AE166" i="38"/>
  <c r="AB69" i="38"/>
  <c r="AH108" i="38"/>
  <c r="AH9" i="38"/>
  <c r="AJ173" i="38"/>
  <c r="AH175" i="38"/>
  <c r="AB162" i="38"/>
  <c r="AC165" i="38"/>
  <c r="AG167" i="38"/>
  <c r="AC132" i="38"/>
  <c r="AG131" i="38"/>
  <c r="AO62" i="38"/>
  <c r="AP62" i="38"/>
  <c r="AG116" i="38"/>
  <c r="AN44" i="38"/>
  <c r="AK44" i="38"/>
  <c r="AE44" i="38"/>
  <c r="AG44" i="38"/>
  <c r="AC30" i="38"/>
  <c r="AP7" i="38"/>
  <c r="AJ8" i="38"/>
  <c r="AE17" i="38"/>
  <c r="AB18" i="38"/>
  <c r="AG12" i="38"/>
  <c r="AN160" i="38"/>
  <c r="AH160" i="38"/>
  <c r="AG160" i="38"/>
  <c r="AE160" i="38"/>
  <c r="AB165" i="38"/>
  <c r="AB132" i="38"/>
  <c r="AE131" i="38"/>
  <c r="AE116" i="38"/>
  <c r="AC27" i="38"/>
  <c r="AB53" i="38"/>
  <c r="AN68" i="38"/>
  <c r="AO13" i="38"/>
  <c r="AK8" i="38"/>
  <c r="AB10" i="38"/>
  <c r="AO23" i="38"/>
  <c r="AB16" i="38"/>
  <c r="AG17" i="38"/>
  <c r="AH12" i="38"/>
  <c r="AC53" i="38"/>
  <c r="AO8" i="38"/>
  <c r="AC93" i="38"/>
  <c r="AM8" i="38"/>
  <c r="AC10" i="38"/>
  <c r="AO19" i="38"/>
  <c r="AN173" i="38"/>
  <c r="AJ175" i="38"/>
  <c r="AB178" i="38"/>
  <c r="AB179" i="38"/>
  <c r="AK12" i="38"/>
  <c r="AG11" i="38"/>
  <c r="AE11" i="38"/>
  <c r="AN11" i="38"/>
  <c r="AC159" i="38"/>
  <c r="AC162" i="38"/>
  <c r="AC14" i="38"/>
  <c r="AK166" i="38"/>
  <c r="AB177" i="38"/>
  <c r="AN86" i="38"/>
  <c r="AG86" i="38"/>
  <c r="AE86" i="38"/>
  <c r="AM86" i="38"/>
  <c r="AB39" i="38"/>
  <c r="AC135" i="38"/>
  <c r="AO83" i="38"/>
  <c r="AP83" i="38"/>
  <c r="AE56" i="38"/>
  <c r="AC127" i="38"/>
  <c r="AO90" i="38"/>
  <c r="AE30" i="38"/>
  <c r="AO97" i="38"/>
  <c r="AE34" i="38"/>
  <c r="AK34" i="38"/>
  <c r="AJ34" i="38"/>
  <c r="AH34" i="38"/>
  <c r="AN34" i="38"/>
  <c r="AM34" i="38"/>
  <c r="AO125" i="38"/>
  <c r="AG34" i="38"/>
  <c r="AM17" i="38"/>
  <c r="AK17" i="38"/>
  <c r="AC175" i="38"/>
  <c r="AC106" i="38"/>
  <c r="AG53" i="38"/>
  <c r="AB67" i="38"/>
  <c r="AK108" i="38"/>
  <c r="AN118" i="38"/>
  <c r="AE118" i="38"/>
  <c r="AP12" i="38"/>
  <c r="AE10" i="38"/>
  <c r="AK175" i="38"/>
  <c r="AC178" i="38"/>
  <c r="AC179" i="38"/>
  <c r="AB180" i="38"/>
  <c r="AJ17" i="38"/>
  <c r="AB160" i="38"/>
  <c r="AB164" i="38"/>
  <c r="AB32" i="38"/>
  <c r="AC39" i="38"/>
  <c r="AB51" i="38"/>
  <c r="AG52" i="38"/>
  <c r="AE52" i="38"/>
  <c r="AN52" i="38"/>
  <c r="AM52" i="38"/>
  <c r="AJ56" i="38"/>
  <c r="AG127" i="38"/>
  <c r="AG30" i="38"/>
  <c r="AB187" i="38"/>
  <c r="AO105" i="38"/>
  <c r="AC181" i="38"/>
  <c r="AE179" i="38"/>
  <c r="AC180" i="38"/>
  <c r="AN17" i="38"/>
  <c r="AN192" i="38"/>
  <c r="AM192" i="38"/>
  <c r="AE192" i="38"/>
  <c r="AB161" i="38"/>
  <c r="AC160" i="38"/>
  <c r="AC32" i="38"/>
  <c r="AK115" i="38"/>
  <c r="AN115" i="38"/>
  <c r="AM115" i="38"/>
  <c r="AK56" i="38"/>
  <c r="AB54" i="38"/>
  <c r="AB43" i="38"/>
  <c r="AM173" i="38"/>
  <c r="AK173" i="38"/>
  <c r="AB11" i="38"/>
  <c r="AB20" i="38"/>
  <c r="AO50" i="38"/>
  <c r="AP50" i="38"/>
  <c r="AP61" i="38"/>
  <c r="AO61" i="38"/>
  <c r="AE134" i="38"/>
  <c r="AN134" i="38"/>
  <c r="AM134" i="38"/>
  <c r="AJ134" i="38"/>
  <c r="AH134" i="38"/>
  <c r="AG134" i="38"/>
  <c r="AN70" i="38"/>
  <c r="AK70" i="38"/>
  <c r="AO106" i="38"/>
  <c r="AE70" i="38"/>
  <c r="AM70" i="38"/>
  <c r="AC142" i="38"/>
  <c r="AC24" i="38"/>
  <c r="AC58" i="38"/>
  <c r="AC147" i="38"/>
  <c r="AC101" i="38"/>
  <c r="AC112" i="38"/>
  <c r="AC104" i="38"/>
  <c r="AC157" i="38"/>
  <c r="AC124" i="38"/>
  <c r="AC114" i="38"/>
  <c r="AC57" i="38"/>
  <c r="AC97" i="38"/>
  <c r="AC59" i="38"/>
  <c r="AC148" i="38"/>
  <c r="AC133" i="38"/>
  <c r="AC141" i="38"/>
  <c r="AC138" i="38"/>
  <c r="AC150" i="38"/>
  <c r="AC95" i="38"/>
  <c r="AC25" i="38"/>
  <c r="AC84" i="38"/>
  <c r="AC63" i="38"/>
  <c r="AC41" i="38"/>
  <c r="AC37" i="38"/>
  <c r="AC149" i="38"/>
  <c r="AC107" i="38"/>
  <c r="AC188" i="38"/>
  <c r="AC82" i="38"/>
  <c r="AC139" i="38"/>
  <c r="AC136" i="38"/>
  <c r="AC23" i="38"/>
  <c r="AC153" i="38"/>
  <c r="AC158" i="38"/>
  <c r="AC146" i="38"/>
  <c r="AC34" i="38"/>
  <c r="AC129" i="38"/>
  <c r="AC81" i="38"/>
  <c r="AC62" i="38"/>
  <c r="AC69" i="38"/>
  <c r="AC144" i="38"/>
  <c r="AC140" i="38"/>
  <c r="AC137" i="38"/>
  <c r="AC152" i="38"/>
  <c r="AC122" i="38"/>
  <c r="AC78" i="38"/>
  <c r="AC47" i="38"/>
  <c r="AC42" i="38"/>
  <c r="AC91" i="38"/>
  <c r="AC154" i="38"/>
  <c r="AC49" i="38"/>
  <c r="AC191" i="38"/>
  <c r="AC113" i="38"/>
  <c r="AC94" i="38"/>
  <c r="AC46" i="38"/>
  <c r="AC43" i="38"/>
  <c r="AC102" i="38"/>
  <c r="AC119" i="38"/>
  <c r="AC190" i="38"/>
  <c r="AC128" i="38"/>
  <c r="AC35" i="38"/>
  <c r="AC105" i="38"/>
  <c r="AC156" i="38"/>
  <c r="AC145" i="38"/>
  <c r="AC89" i="38"/>
  <c r="AC64" i="38"/>
  <c r="AC31" i="38"/>
  <c r="AC44" i="38"/>
  <c r="AC33" i="38"/>
  <c r="AC134" i="38"/>
  <c r="AC77" i="38"/>
  <c r="AC110" i="38"/>
  <c r="AC73" i="38"/>
  <c r="AC72" i="38"/>
  <c r="AC123" i="38"/>
  <c r="AC76" i="38"/>
  <c r="AC55" i="38"/>
  <c r="AC70" i="38"/>
  <c r="AC90" i="38"/>
  <c r="AC38" i="38"/>
  <c r="AC60" i="38"/>
  <c r="AC65" i="38"/>
  <c r="AC187" i="38"/>
  <c r="AC48" i="38"/>
  <c r="AC177" i="38"/>
  <c r="AC20" i="38"/>
  <c r="AC88" i="38"/>
  <c r="AC98" i="38"/>
  <c r="AC121" i="38"/>
  <c r="AC120" i="38"/>
  <c r="AC99" i="38"/>
  <c r="AC109" i="38"/>
  <c r="AC83" i="38"/>
  <c r="AC85" i="38"/>
  <c r="AC115" i="38"/>
  <c r="AC143" i="38"/>
  <c r="AC130" i="38"/>
  <c r="AC86" i="38"/>
  <c r="AC15" i="38"/>
  <c r="AC173" i="38"/>
  <c r="AC50" i="38"/>
  <c r="AC126" i="38"/>
  <c r="AC66" i="38"/>
  <c r="AC71" i="38"/>
  <c r="AC103" i="38"/>
  <c r="AC161" i="38"/>
  <c r="AC16" i="38"/>
  <c r="AC100" i="38"/>
  <c r="AC29" i="38"/>
  <c r="AC117" i="38"/>
  <c r="AC51" i="38"/>
  <c r="AC6" i="38"/>
  <c r="AC36" i="38"/>
  <c r="AC164" i="38"/>
  <c r="AC151" i="38"/>
  <c r="AC26" i="38"/>
  <c r="AC111" i="38"/>
  <c r="AC87" i="38"/>
  <c r="AC28" i="38"/>
  <c r="AC56" i="38"/>
  <c r="AC52" i="38"/>
  <c r="AC22" i="38"/>
  <c r="AC13" i="38"/>
  <c r="AC155" i="38"/>
  <c r="AC61" i="38"/>
  <c r="AC163" i="38"/>
  <c r="AC192" i="38"/>
  <c r="AC18" i="38"/>
  <c r="AC174" i="38"/>
  <c r="AH67" i="38"/>
  <c r="AG9" i="38"/>
  <c r="AP15" i="38"/>
  <c r="AK178" i="38"/>
  <c r="AG180" i="38"/>
  <c r="AH131" i="38"/>
  <c r="AM131" i="38"/>
  <c r="AK131" i="38"/>
  <c r="AB82" i="38"/>
  <c r="AB26" i="38"/>
  <c r="AB25" i="38"/>
  <c r="AB27" i="38"/>
  <c r="AB28" i="38"/>
  <c r="AE8" i="38"/>
  <c r="AN8" i="38"/>
  <c r="AB100" i="38"/>
  <c r="AM7" i="38"/>
  <c r="AE180" i="38"/>
  <c r="AK53" i="38"/>
  <c r="AB68" i="38"/>
  <c r="AG181" i="38"/>
  <c r="AK179" i="38"/>
  <c r="AO31" i="38"/>
  <c r="AC11" i="38"/>
  <c r="AH166" i="38"/>
  <c r="AG166" i="38"/>
  <c r="AH167" i="38"/>
  <c r="AK167" i="38"/>
  <c r="W77" i="38"/>
  <c r="AM77" i="38" s="1"/>
  <c r="AP67" i="38"/>
  <c r="AO67" i="38"/>
  <c r="AH116" i="38"/>
  <c r="AM116" i="38"/>
  <c r="AK116" i="38"/>
  <c r="AB48" i="38"/>
  <c r="AM53" i="38"/>
  <c r="AC68" i="38"/>
  <c r="AB118" i="38"/>
  <c r="AE7" i="38"/>
  <c r="AP16" i="38"/>
  <c r="AM10" i="38"/>
  <c r="AO22" i="38"/>
  <c r="AM178" i="38"/>
  <c r="AM179" i="38"/>
  <c r="AG192" i="38"/>
  <c r="AO38" i="38"/>
  <c r="AP48" i="38"/>
  <c r="AP54" i="38"/>
  <c r="AM44" i="38"/>
  <c r="AB42" i="38"/>
  <c r="AE20" i="38"/>
  <c r="AK15" i="38"/>
  <c r="AN164" i="38"/>
  <c r="AE177" i="38"/>
  <c r="AO59" i="38"/>
  <c r="AN32" i="38"/>
  <c r="AG32" i="38"/>
  <c r="AE32" i="38"/>
  <c r="AO76" i="38"/>
  <c r="AH117" i="38"/>
  <c r="AG117" i="38"/>
  <c r="AJ66" i="38"/>
  <c r="AH66" i="38"/>
  <c r="AM69" i="38"/>
  <c r="AK190" i="38"/>
  <c r="AN190" i="38"/>
  <c r="AH190" i="38"/>
  <c r="AE190" i="38"/>
  <c r="AP141" i="38"/>
  <c r="AM124" i="38"/>
  <c r="AK124" i="38"/>
  <c r="AH124" i="38"/>
  <c r="AG124" i="38"/>
  <c r="AN124" i="38"/>
  <c r="AJ124" i="38"/>
  <c r="AP172" i="38"/>
  <c r="AO172" i="38"/>
  <c r="AG20" i="38"/>
  <c r="AG177" i="38"/>
  <c r="AP63" i="38"/>
  <c r="AO63" i="38"/>
  <c r="AK71" i="38"/>
  <c r="AJ71" i="38"/>
  <c r="AN51" i="38"/>
  <c r="AG51" i="38"/>
  <c r="AE51" i="38"/>
  <c r="AE144" i="38"/>
  <c r="AO108" i="38"/>
  <c r="AK29" i="38"/>
  <c r="AE29" i="38"/>
  <c r="AH29" i="38"/>
  <c r="AM29" i="38"/>
  <c r="AG76" i="38"/>
  <c r="AK76" i="38"/>
  <c r="AH76" i="38"/>
  <c r="AE76" i="38"/>
  <c r="AP126" i="38"/>
  <c r="AP152" i="38"/>
  <c r="AG145" i="38"/>
  <c r="AE145" i="38"/>
  <c r="AN145" i="38"/>
  <c r="AM145" i="38"/>
  <c r="AK145" i="38"/>
  <c r="AH145" i="38"/>
  <c r="AN148" i="38"/>
  <c r="AE148" i="38"/>
  <c r="AM148" i="38"/>
  <c r="AK148" i="38"/>
  <c r="AH148" i="38"/>
  <c r="AP120" i="38"/>
  <c r="AO120" i="38"/>
  <c r="AN63" i="38"/>
  <c r="AM63" i="38"/>
  <c r="AE63" i="38"/>
  <c r="AG25" i="38"/>
  <c r="AH25" i="38"/>
  <c r="AE25" i="38"/>
  <c r="AP139" i="38"/>
  <c r="AN110" i="38"/>
  <c r="AK110" i="38"/>
  <c r="AM110" i="38"/>
  <c r="AH153" i="38"/>
  <c r="AG153" i="38"/>
  <c r="AE153" i="38"/>
  <c r="AO159" i="38"/>
  <c r="AP188" i="38"/>
  <c r="AE39" i="38"/>
  <c r="AN135" i="38"/>
  <c r="AG135" i="38"/>
  <c r="AE135" i="38"/>
  <c r="AG123" i="38"/>
  <c r="AN123" i="38"/>
  <c r="AK40" i="38"/>
  <c r="AE40" i="38"/>
  <c r="AM40" i="38"/>
  <c r="AH69" i="38"/>
  <c r="AG69" i="38"/>
  <c r="AG148" i="38"/>
  <c r="AH156" i="38"/>
  <c r="AG156" i="38"/>
  <c r="AN156" i="38"/>
  <c r="AK156" i="38"/>
  <c r="AE156" i="38"/>
  <c r="AK125" i="38"/>
  <c r="AK13" i="38"/>
  <c r="AN20" i="38"/>
  <c r="AE164" i="38"/>
  <c r="AK22" i="38"/>
  <c r="AN177" i="38"/>
  <c r="AE132" i="38"/>
  <c r="AP57" i="38"/>
  <c r="AO57" i="38"/>
  <c r="AJ39" i="38"/>
  <c r="AE6" i="38"/>
  <c r="AH51" i="38"/>
  <c r="AO82" i="38"/>
  <c r="AE48" i="38"/>
  <c r="AN48" i="38"/>
  <c r="AK48" i="38"/>
  <c r="AG54" i="38"/>
  <c r="AH54" i="38"/>
  <c r="AG29" i="38"/>
  <c r="AN76" i="38"/>
  <c r="AO150" i="38"/>
  <c r="AG164" i="38"/>
  <c r="AH61" i="38"/>
  <c r="AE71" i="38"/>
  <c r="AJ51" i="38"/>
  <c r="AP84" i="38"/>
  <c r="AO84" i="38"/>
  <c r="AP85" i="38"/>
  <c r="AG63" i="38"/>
  <c r="AP117" i="38"/>
  <c r="AO117" i="38"/>
  <c r="AO123" i="38"/>
  <c r="AG73" i="38"/>
  <c r="AJ73" i="38"/>
  <c r="AH73" i="38"/>
  <c r="AN73" i="38"/>
  <c r="AP162" i="38"/>
  <c r="AP183" i="38"/>
  <c r="AK65" i="38"/>
  <c r="AJ65" i="38"/>
  <c r="AH65" i="38"/>
  <c r="AG65" i="38"/>
  <c r="AE65" i="38"/>
  <c r="AO151" i="38"/>
  <c r="AN65" i="38"/>
  <c r="AP158" i="38"/>
  <c r="AO158" i="38"/>
  <c r="AK150" i="38"/>
  <c r="AN150" i="38"/>
  <c r="AH150" i="38"/>
  <c r="AE150" i="38"/>
  <c r="AG150" i="38"/>
  <c r="AH146" i="38"/>
  <c r="AK146" i="38"/>
  <c r="AG146" i="38"/>
  <c r="AN146" i="38"/>
  <c r="AM146" i="38"/>
  <c r="AN119" i="38"/>
  <c r="AK119" i="38"/>
  <c r="AH119" i="38"/>
  <c r="AG119" i="38"/>
  <c r="AE119" i="38"/>
  <c r="AH39" i="38"/>
  <c r="AG39" i="38"/>
  <c r="AJ6" i="38"/>
  <c r="AH6" i="38"/>
  <c r="AK135" i="38"/>
  <c r="AP77" i="38"/>
  <c r="AJ144" i="38"/>
  <c r="AH144" i="38"/>
  <c r="AH40" i="38"/>
  <c r="AK69" i="38"/>
  <c r="AK97" i="38"/>
  <c r="AH97" i="38"/>
  <c r="AG97" i="38"/>
  <c r="AE97" i="38"/>
  <c r="AO134" i="38"/>
  <c r="AP134" i="38"/>
  <c r="AN153" i="38"/>
  <c r="AI101" i="38"/>
  <c r="AG101" i="38"/>
  <c r="AN101" i="38"/>
  <c r="AK101" i="38"/>
  <c r="AH101" i="38"/>
  <c r="AE101" i="38"/>
  <c r="AM33" i="38"/>
  <c r="AE82" i="38"/>
  <c r="AN82" i="38"/>
  <c r="AN85" i="38"/>
  <c r="AG85" i="38"/>
  <c r="AH126" i="38"/>
  <c r="AG126" i="38"/>
  <c r="AG83" i="38"/>
  <c r="AK87" i="38"/>
  <c r="AJ50" i="38"/>
  <c r="AE60" i="38"/>
  <c r="AN33" i="38"/>
  <c r="AO103" i="38"/>
  <c r="AE62" i="38"/>
  <c r="AO157" i="38"/>
  <c r="AN37" i="38"/>
  <c r="AK37" i="38"/>
  <c r="AJ37" i="38"/>
  <c r="AH37" i="38"/>
  <c r="AE37" i="38"/>
  <c r="AO180" i="38"/>
  <c r="AH83" i="38"/>
  <c r="AM83" i="38"/>
  <c r="AJ83" i="38"/>
  <c r="AH87" i="38"/>
  <c r="AG87" i="38"/>
  <c r="AH88" i="38"/>
  <c r="AM88" i="38"/>
  <c r="AK50" i="38"/>
  <c r="AG50" i="38"/>
  <c r="AE50" i="38"/>
  <c r="AO143" i="38"/>
  <c r="AP148" i="38"/>
  <c r="AO148" i="38"/>
  <c r="AG151" i="38"/>
  <c r="AE151" i="38"/>
  <c r="AN151" i="38"/>
  <c r="AK151" i="38"/>
  <c r="AH151" i="38"/>
  <c r="AM60" i="38"/>
  <c r="AN189" i="38"/>
  <c r="AK189" i="38"/>
  <c r="AO92" i="38"/>
  <c r="AH82" i="38"/>
  <c r="AH85" i="38"/>
  <c r="AE126" i="38"/>
  <c r="AG46" i="38"/>
  <c r="AE46" i="38"/>
  <c r="AN62" i="38"/>
  <c r="AP119" i="38"/>
  <c r="AO119" i="38"/>
  <c r="AK94" i="38"/>
  <c r="AE94" i="38"/>
  <c r="AP128" i="38"/>
  <c r="AN98" i="38"/>
  <c r="AK98" i="38"/>
  <c r="AE98" i="38"/>
  <c r="AG107" i="38"/>
  <c r="AE107" i="38"/>
  <c r="AK113" i="38"/>
  <c r="AH113" i="38"/>
  <c r="AO145" i="38"/>
  <c r="AG155" i="38"/>
  <c r="AN155" i="38"/>
  <c r="AM155" i="38"/>
  <c r="AK155" i="38"/>
  <c r="AE155" i="38"/>
  <c r="AE90" i="38"/>
  <c r="AN90" i="38"/>
  <c r="AE64" i="38"/>
  <c r="AO113" i="38"/>
  <c r="AK55" i="38"/>
  <c r="AH55" i="38"/>
  <c r="AO114" i="38"/>
  <c r="AP116" i="38"/>
  <c r="AO116" i="38"/>
  <c r="AK121" i="38"/>
  <c r="AH121" i="38"/>
  <c r="AK26" i="38"/>
  <c r="AP130" i="38"/>
  <c r="AO130" i="38"/>
  <c r="AO192" i="38"/>
  <c r="AP155" i="38"/>
  <c r="AO155" i="38"/>
  <c r="AO110" i="38"/>
  <c r="AE83" i="38"/>
  <c r="AJ87" i="38"/>
  <c r="AG88" i="38"/>
  <c r="AH50" i="38"/>
  <c r="AO179" i="38"/>
  <c r="AM149" i="38"/>
  <c r="AK23" i="38"/>
  <c r="AH23" i="38"/>
  <c r="AJ24" i="38"/>
  <c r="AH24" i="38"/>
  <c r="AP189" i="38"/>
  <c r="AO189" i="38"/>
  <c r="AM41" i="38"/>
  <c r="AE43" i="38"/>
  <c r="AN84" i="38"/>
  <c r="AH27" i="38"/>
  <c r="AN188" i="38"/>
  <c r="AN95" i="38"/>
  <c r="AE109" i="38"/>
  <c r="AK57" i="38"/>
  <c r="AE72" i="38"/>
  <c r="AP146" i="38"/>
  <c r="AH49" i="38"/>
  <c r="AE111" i="38"/>
  <c r="AH120" i="38"/>
  <c r="AM154" i="38"/>
  <c r="AN149" i="38"/>
  <c r="AJ59" i="38"/>
  <c r="AG91" i="38"/>
  <c r="AG42" i="38"/>
  <c r="AG47" i="38"/>
  <c r="AH43" i="38"/>
  <c r="AK27" i="38"/>
  <c r="AP133" i="38"/>
  <c r="AH122" i="38"/>
  <c r="AH109" i="38"/>
  <c r="AH72" i="38"/>
  <c r="AH111" i="38"/>
  <c r="AG112" i="38"/>
  <c r="AN112" i="38"/>
  <c r="AM43" i="38"/>
  <c r="AO124" i="38"/>
  <c r="AM109" i="38"/>
  <c r="AN191" i="38"/>
  <c r="AM191" i="38"/>
  <c r="AG49" i="38"/>
  <c r="AE49" i="38"/>
  <c r="AM111" i="38"/>
  <c r="AG120" i="38"/>
  <c r="AE120" i="38"/>
  <c r="AO154" i="38"/>
  <c r="AE23" i="38"/>
  <c r="AE24" i="38"/>
  <c r="AN59" i="38"/>
  <c r="AK59" i="38"/>
  <c r="AE59" i="38"/>
  <c r="AP191" i="38"/>
  <c r="AO191" i="38"/>
  <c r="AE188" i="38"/>
  <c r="AN122" i="38"/>
  <c r="AE149" i="38"/>
  <c r="AG23" i="38"/>
  <c r="AG24" i="38"/>
  <c r="AA138" i="38"/>
  <c r="Z138" i="38"/>
  <c r="W138" i="38"/>
  <c r="AA141" i="38"/>
  <c r="Z141" i="38"/>
  <c r="W141" i="38"/>
  <c r="AP190" i="38"/>
  <c r="AO190" i="38"/>
  <c r="AP164" i="38"/>
  <c r="AM23" i="38"/>
  <c r="AM24" i="38"/>
  <c r="AN133" i="38"/>
  <c r="AK133" i="38"/>
  <c r="AH133" i="38"/>
  <c r="AG133" i="38"/>
  <c r="AE133" i="38"/>
  <c r="AP177" i="38"/>
  <c r="AN23" i="38"/>
  <c r="AN24" i="38"/>
  <c r="AM99" i="38"/>
  <c r="AM152" i="38"/>
  <c r="AM158" i="38"/>
  <c r="AO178" i="38"/>
  <c r="AO174" i="38"/>
  <c r="AO171" i="38"/>
  <c r="AN152" i="38"/>
  <c r="AN158" i="38"/>
  <c r="AG102" i="38"/>
  <c r="AI102" i="38"/>
  <c r="AE140" i="38"/>
  <c r="AK102" i="38"/>
  <c r="Q374" i="37"/>
  <c r="P374" i="37"/>
  <c r="O374" i="37"/>
  <c r="X132" i="38" l="1"/>
  <c r="Y132" i="38" s="1"/>
  <c r="AO45" i="38"/>
  <c r="AO79" i="38"/>
  <c r="AO77" i="38"/>
  <c r="X19" i="38"/>
  <c r="Y19" i="38" s="1"/>
  <c r="AE79" i="38"/>
  <c r="AG79" i="38"/>
  <c r="AH79" i="38"/>
  <c r="AJ79" i="38"/>
  <c r="AK79" i="38"/>
  <c r="AM79" i="38"/>
  <c r="AN79" i="38"/>
  <c r="X60" i="38"/>
  <c r="Y60" i="38" s="1"/>
  <c r="AG139" i="38"/>
  <c r="AN45" i="38"/>
  <c r="AH139" i="38"/>
  <c r="AE137" i="38"/>
  <c r="AG137" i="38"/>
  <c r="AJ139" i="38"/>
  <c r="AE139" i="38"/>
  <c r="AG142" i="38"/>
  <c r="AG136" i="38"/>
  <c r="AH142" i="38"/>
  <c r="AH136" i="38"/>
  <c r="AJ142" i="38"/>
  <c r="AE142" i="38"/>
  <c r="X183" i="38"/>
  <c r="Y183" i="38" s="1"/>
  <c r="AK45" i="38"/>
  <c r="AJ136" i="38"/>
  <c r="X182" i="38"/>
  <c r="Y182" i="38" s="1"/>
  <c r="AE136" i="38"/>
  <c r="X92" i="38"/>
  <c r="Y92" i="38" s="1"/>
  <c r="AK187" i="38"/>
  <c r="AJ187" i="38"/>
  <c r="AO33" i="38"/>
  <c r="X35" i="38"/>
  <c r="Y35" i="38" s="1"/>
  <c r="AG187" i="38"/>
  <c r="AH187" i="38"/>
  <c r="AK137" i="38"/>
  <c r="AH137" i="38"/>
  <c r="X52" i="38"/>
  <c r="Y52" i="38" s="1"/>
  <c r="X112" i="38"/>
  <c r="Y112" i="38" s="1"/>
  <c r="X24" i="38"/>
  <c r="Y24" i="38" s="1"/>
  <c r="AM187" i="38"/>
  <c r="AN187" i="38"/>
  <c r="AE187" i="38"/>
  <c r="X44" i="38"/>
  <c r="Y44" i="38" s="1"/>
  <c r="X102" i="38"/>
  <c r="Y102" i="38" s="1"/>
  <c r="X118" i="38"/>
  <c r="Y118" i="38" s="1"/>
  <c r="X31" i="38"/>
  <c r="Y31" i="38" s="1"/>
  <c r="X157" i="38"/>
  <c r="Y157" i="38" s="1"/>
  <c r="AO187" i="38"/>
  <c r="X99" i="38"/>
  <c r="Y99" i="38" s="1"/>
  <c r="X104" i="38"/>
  <c r="Y104" i="38" s="1"/>
  <c r="AH45" i="38"/>
  <c r="AG45" i="38"/>
  <c r="AE45" i="38"/>
  <c r="X65" i="38"/>
  <c r="Y65" i="38" s="1"/>
  <c r="X188" i="38"/>
  <c r="Y188" i="38" s="1"/>
  <c r="X42" i="38"/>
  <c r="Y42" i="38" s="1"/>
  <c r="X176" i="38"/>
  <c r="Y176" i="38" s="1"/>
  <c r="X37" i="38"/>
  <c r="Y37" i="38" s="1"/>
  <c r="X123" i="38"/>
  <c r="Y123" i="38" s="1"/>
  <c r="X150" i="38"/>
  <c r="Y150" i="38" s="1"/>
  <c r="X191" i="38"/>
  <c r="Y191" i="38" s="1"/>
  <c r="X93" i="38"/>
  <c r="Y93" i="38" s="1"/>
  <c r="X87" i="38"/>
  <c r="Y87" i="38" s="1"/>
  <c r="X143" i="38"/>
  <c r="Y143" i="38" s="1"/>
  <c r="X148" i="38"/>
  <c r="Y148" i="38" s="1"/>
  <c r="X40" i="38"/>
  <c r="Y40" i="38" s="1"/>
  <c r="X110" i="38"/>
  <c r="Y110" i="38" s="1"/>
  <c r="X23" i="38"/>
  <c r="Y23" i="38" s="1"/>
  <c r="X163" i="38"/>
  <c r="Y163" i="38" s="1"/>
  <c r="X54" i="38"/>
  <c r="Y54" i="38" s="1"/>
  <c r="X10" i="38"/>
  <c r="Y10" i="38" s="1"/>
  <c r="X48" i="38"/>
  <c r="Y48" i="38" s="1"/>
  <c r="X94" i="38"/>
  <c r="Y94" i="38" s="1"/>
  <c r="X140" i="38"/>
  <c r="Y140" i="38" s="1"/>
  <c r="X59" i="38"/>
  <c r="Y59" i="38" s="1"/>
  <c r="AJ77" i="38"/>
  <c r="AO72" i="38"/>
  <c r="X36" i="38"/>
  <c r="Y36" i="38" s="1"/>
  <c r="X12" i="38"/>
  <c r="Y12" i="38" s="1"/>
  <c r="X109" i="38"/>
  <c r="Y109" i="38" s="1"/>
  <c r="X121" i="38"/>
  <c r="Y121" i="38" s="1"/>
  <c r="X120" i="38"/>
  <c r="Y120" i="38" s="1"/>
  <c r="X70" i="38"/>
  <c r="Y70" i="38" s="1"/>
  <c r="X43" i="38"/>
  <c r="Y43" i="38" s="1"/>
  <c r="X25" i="38"/>
  <c r="Y25" i="38" s="1"/>
  <c r="X32" i="38"/>
  <c r="Y32" i="38" s="1"/>
  <c r="X174" i="38"/>
  <c r="Y174" i="38" s="1"/>
  <c r="X151" i="38"/>
  <c r="Y151" i="38" s="1"/>
  <c r="X97" i="38"/>
  <c r="Y97" i="38" s="1"/>
  <c r="X46" i="38"/>
  <c r="Y46" i="38" s="1"/>
  <c r="X122" i="38"/>
  <c r="Y122" i="38" s="1"/>
  <c r="X83" i="38"/>
  <c r="Y83" i="38" s="1"/>
  <c r="X28" i="38"/>
  <c r="Y28" i="38" s="1"/>
  <c r="X20" i="38"/>
  <c r="Y20" i="38" s="1"/>
  <c r="X126" i="38"/>
  <c r="Y126" i="38" s="1"/>
  <c r="X64" i="38"/>
  <c r="Y64" i="38" s="1"/>
  <c r="X161" i="38"/>
  <c r="Y161" i="38" s="1"/>
  <c r="X147" i="38"/>
  <c r="Y147" i="38" s="1"/>
  <c r="X127" i="38"/>
  <c r="Y127" i="38" s="1"/>
  <c r="X89" i="38"/>
  <c r="Y89" i="38" s="1"/>
  <c r="X101" i="38"/>
  <c r="Y101" i="38" s="1"/>
  <c r="X85" i="38"/>
  <c r="Y85" i="38" s="1"/>
  <c r="X90" i="38"/>
  <c r="Y90" i="38" s="1"/>
  <c r="X38" i="38"/>
  <c r="Y38" i="38" s="1"/>
  <c r="X119" i="38"/>
  <c r="Y119" i="38" s="1"/>
  <c r="X63" i="38"/>
  <c r="Y63" i="38" s="1"/>
  <c r="X51" i="38"/>
  <c r="Y51" i="38" s="1"/>
  <c r="X96" i="38"/>
  <c r="Y96" i="38" s="1"/>
  <c r="X72" i="38"/>
  <c r="Y72" i="38" s="1"/>
  <c r="X33" i="38"/>
  <c r="Y33" i="38" s="1"/>
  <c r="X100" i="38"/>
  <c r="Y100" i="38" s="1"/>
  <c r="X39" i="38"/>
  <c r="Y39" i="38" s="1"/>
  <c r="X22" i="38"/>
  <c r="Y22" i="38" s="1"/>
  <c r="X9" i="38"/>
  <c r="Y9" i="38" s="1"/>
  <c r="X165" i="38"/>
  <c r="Y165" i="38" s="1"/>
  <c r="X175" i="38"/>
  <c r="Y175" i="38" s="1"/>
  <c r="X18" i="38"/>
  <c r="Y18" i="38" s="1"/>
  <c r="X8" i="38"/>
  <c r="Y8" i="38" s="1"/>
  <c r="X129" i="38"/>
  <c r="Y129" i="38" s="1"/>
  <c r="X98" i="38"/>
  <c r="Y98" i="38" s="1"/>
  <c r="X53" i="38"/>
  <c r="Y53" i="38" s="1"/>
  <c r="X49" i="38"/>
  <c r="Y49" i="38" s="1"/>
  <c r="X88" i="38"/>
  <c r="Y88" i="38" s="1"/>
  <c r="X113" i="38"/>
  <c r="Y113" i="38" s="1"/>
  <c r="X86" i="38"/>
  <c r="Y86" i="38" s="1"/>
  <c r="X82" i="38"/>
  <c r="Y82" i="38" s="1"/>
  <c r="X11" i="38"/>
  <c r="Y11" i="38" s="1"/>
  <c r="X160" i="38"/>
  <c r="Y160" i="38" s="1"/>
  <c r="X69" i="38"/>
  <c r="Y69" i="38" s="1"/>
  <c r="X103" i="38"/>
  <c r="Y103" i="38" s="1"/>
  <c r="X158" i="38"/>
  <c r="Y158" i="38" s="1"/>
  <c r="X107" i="38"/>
  <c r="Y107" i="38" s="1"/>
  <c r="X58" i="38"/>
  <c r="Y58" i="38" s="1"/>
  <c r="X152" i="38"/>
  <c r="Y152" i="38" s="1"/>
  <c r="X155" i="38"/>
  <c r="Y155" i="38" s="1"/>
  <c r="X41" i="38"/>
  <c r="Y41" i="38" s="1"/>
  <c r="X178" i="38"/>
  <c r="Y178" i="38" s="1"/>
  <c r="X61" i="38"/>
  <c r="Y61" i="38" s="1"/>
  <c r="X76" i="38"/>
  <c r="Y76" i="38" s="1"/>
  <c r="X84" i="38"/>
  <c r="Y84" i="38" s="1"/>
  <c r="X62" i="38"/>
  <c r="Y62" i="38" s="1"/>
  <c r="X68" i="38"/>
  <c r="Y68" i="38" s="1"/>
  <c r="X177" i="38"/>
  <c r="Y177" i="38" s="1"/>
  <c r="X16" i="38"/>
  <c r="Y16" i="38" s="1"/>
  <c r="X50" i="38"/>
  <c r="Y50" i="38" s="1"/>
  <c r="X47" i="38"/>
  <c r="Y47" i="38" s="1"/>
  <c r="X95" i="38"/>
  <c r="Y95" i="38" s="1"/>
  <c r="X27" i="38"/>
  <c r="Y27" i="38" s="1"/>
  <c r="X164" i="38"/>
  <c r="Y164" i="38" s="1"/>
  <c r="X117" i="38"/>
  <c r="Y117" i="38" s="1"/>
  <c r="X180" i="38"/>
  <c r="Y180" i="38" s="1"/>
  <c r="X131" i="38"/>
  <c r="Y131" i="38" s="1"/>
  <c r="X173" i="38"/>
  <c r="Y173" i="38" s="1"/>
  <c r="X167" i="38"/>
  <c r="Y167" i="38" s="1"/>
  <c r="X190" i="38"/>
  <c r="Y190" i="38" s="1"/>
  <c r="X6" i="38"/>
  <c r="Y6" i="38" s="1"/>
  <c r="X116" i="38"/>
  <c r="Y116" i="38" s="1"/>
  <c r="X15" i="38"/>
  <c r="Y15" i="38" s="1"/>
  <c r="X106" i="38"/>
  <c r="Y106" i="38" s="1"/>
  <c r="X34" i="38"/>
  <c r="Y34" i="38" s="1"/>
  <c r="X57" i="38"/>
  <c r="Y57" i="38" s="1"/>
  <c r="AH138" i="38"/>
  <c r="AG138" i="38"/>
  <c r="AE138" i="38"/>
  <c r="AJ138" i="38"/>
  <c r="AK138" i="38"/>
  <c r="X134" i="38"/>
  <c r="Y134" i="38" s="1"/>
  <c r="X91" i="38"/>
  <c r="Y91" i="38" s="1"/>
  <c r="X73" i="38"/>
  <c r="Y73" i="38" s="1"/>
  <c r="X125" i="38"/>
  <c r="Y125" i="38" s="1"/>
  <c r="X130" i="38"/>
  <c r="Y130" i="38" s="1"/>
  <c r="X29" i="38"/>
  <c r="Y29" i="38" s="1"/>
  <c r="X124" i="38"/>
  <c r="Y124" i="38" s="1"/>
  <c r="X166" i="38"/>
  <c r="Y166" i="38" s="1"/>
  <c r="X78" i="38"/>
  <c r="Y78" i="38" s="1"/>
  <c r="X105" i="38"/>
  <c r="Y105" i="38" s="1"/>
  <c r="X156" i="38"/>
  <c r="Y156" i="38" s="1"/>
  <c r="X162" i="38"/>
  <c r="Y162" i="38" s="1"/>
  <c r="X13" i="38"/>
  <c r="Y13" i="38" s="1"/>
  <c r="X111" i="38"/>
  <c r="Y111" i="38" s="1"/>
  <c r="X17" i="38"/>
  <c r="Y17" i="38" s="1"/>
  <c r="X189" i="38"/>
  <c r="Y189" i="38" s="1"/>
  <c r="X153" i="38"/>
  <c r="Y153" i="38" s="1"/>
  <c r="X128" i="38"/>
  <c r="Y128" i="38" s="1"/>
  <c r="X145" i="38"/>
  <c r="Y145" i="38" s="1"/>
  <c r="X149" i="38"/>
  <c r="Y149" i="38" s="1"/>
  <c r="X114" i="38"/>
  <c r="Y114" i="38" s="1"/>
  <c r="AJ141" i="38"/>
  <c r="AH141" i="38"/>
  <c r="AG141" i="38"/>
  <c r="AE141" i="38"/>
  <c r="AK141" i="38"/>
  <c r="X7" i="38"/>
  <c r="Y7" i="38" s="1"/>
  <c r="AE77" i="38"/>
  <c r="AN77" i="38"/>
  <c r="AK77" i="38"/>
  <c r="AH77" i="38"/>
  <c r="AG77" i="38"/>
  <c r="X144" i="38"/>
  <c r="Y144" i="38" s="1"/>
  <c r="X179" i="38"/>
  <c r="Y179" i="38" s="1"/>
  <c r="X26" i="38"/>
  <c r="Y26" i="38" s="1"/>
  <c r="X56" i="38"/>
  <c r="Y56" i="38" s="1"/>
  <c r="X133" i="38"/>
  <c r="Y133" i="38" s="1"/>
  <c r="X67" i="38"/>
  <c r="Y67" i="38" s="1"/>
  <c r="X181" i="38"/>
  <c r="Y181" i="38" s="1"/>
  <c r="X71" i="38"/>
  <c r="Y71" i="38" s="1"/>
  <c r="X55" i="38"/>
  <c r="Y55" i="38" s="1"/>
  <c r="X135" i="38"/>
  <c r="Y135" i="38" s="1"/>
  <c r="X146" i="38"/>
  <c r="Y146" i="38" s="1"/>
  <c r="X66" i="38"/>
  <c r="Y66" i="38" s="1"/>
  <c r="X115" i="38"/>
  <c r="Y115" i="38" s="1"/>
  <c r="X30" i="38"/>
  <c r="Y30" i="38" s="1"/>
  <c r="X154" i="38"/>
  <c r="Y154" i="38" s="1"/>
  <c r="X192" i="38"/>
  <c r="Y192" i="38" s="1"/>
  <c r="X108" i="38"/>
  <c r="Y108" i="38" s="1"/>
  <c r="X14" i="38"/>
  <c r="Y14" i="38" s="1"/>
  <c r="X159" i="38"/>
  <c r="Y159" i="38" s="1"/>
  <c r="X81" i="38"/>
  <c r="Y81" i="38" s="1"/>
  <c r="X79" i="38" l="1"/>
  <c r="Y79" i="38" s="1"/>
  <c r="X142" i="38"/>
  <c r="Y142" i="38" s="1"/>
  <c r="X139" i="38"/>
  <c r="Y139" i="38" s="1"/>
  <c r="X136" i="38"/>
  <c r="Y136" i="38" s="1"/>
  <c r="X137" i="38"/>
  <c r="Y137" i="38" s="1"/>
  <c r="X187" i="38"/>
  <c r="Y187" i="38" s="1"/>
  <c r="X45" i="38"/>
  <c r="Y45" i="38" s="1"/>
  <c r="X138" i="38"/>
  <c r="Y138" i="38" s="1"/>
  <c r="X141" i="38"/>
  <c r="Y141" i="38" s="1"/>
  <c r="X77" i="38"/>
  <c r="Y77" i="38" s="1"/>
  <c r="K59" i="6" l="1"/>
  <c r="J52" i="6"/>
  <c r="M49" i="6"/>
  <c r="M59" i="6" s="1"/>
  <c r="M47" i="6"/>
  <c r="I50" i="6"/>
  <c r="H50" i="6"/>
  <c r="F53" i="6"/>
  <c r="C50" i="6"/>
  <c r="M19" i="6"/>
  <c r="M42" i="6" s="1"/>
  <c r="L19" i="6"/>
  <c r="L42" i="6" s="1"/>
  <c r="K19" i="6"/>
  <c r="K42" i="6" s="1"/>
  <c r="K9" i="6"/>
  <c r="L7" i="6"/>
  <c r="E57" i="6"/>
  <c r="J1" i="6"/>
  <c r="H9" i="6" l="1"/>
  <c r="L6" i="6"/>
  <c r="I9" i="6"/>
  <c r="B57" i="6"/>
  <c r="B59" i="6" s="1"/>
  <c r="E9" i="6"/>
  <c r="F9" i="6"/>
  <c r="G9" i="6"/>
  <c r="E59" i="6"/>
  <c r="G57" i="6"/>
  <c r="G59" i="6" s="1"/>
  <c r="B53" i="6"/>
  <c r="C57" i="6"/>
  <c r="C59" i="6" s="1"/>
  <c r="F57" i="6"/>
  <c r="F59" i="6" s="1"/>
  <c r="D57" i="6"/>
  <c r="D59" i="6" s="1"/>
  <c r="J47" i="6"/>
  <c r="B50" i="6"/>
  <c r="H57" i="6"/>
  <c r="H59" i="6" s="1"/>
  <c r="I57" i="6"/>
  <c r="I59" i="6" s="1"/>
  <c r="B9" i="6"/>
  <c r="E50" i="6"/>
  <c r="C9" i="6"/>
  <c r="F50" i="6"/>
  <c r="D9" i="6"/>
  <c r="J49" i="6"/>
  <c r="J67" i="6" l="1"/>
  <c r="J69" i="6" s="1"/>
  <c r="J57" i="6"/>
  <c r="J53" i="6"/>
  <c r="J50" i="6"/>
  <c r="L8" i="6"/>
  <c r="J9" i="6"/>
  <c r="J59" i="6" l="1"/>
  <c r="L59" i="6"/>
  <c r="L9" i="6"/>
  <c r="D5" i="49"/>
  <c r="C13" i="6" s="1"/>
  <c r="D8" i="49"/>
  <c r="F13" i="6" s="1"/>
  <c r="C15" i="49"/>
  <c r="D7" i="49"/>
  <c r="D12" i="49"/>
  <c r="I13" i="6" s="1"/>
  <c r="D14" i="49"/>
  <c r="D9" i="49"/>
  <c r="G13" i="6" s="1"/>
  <c r="D11" i="49"/>
  <c r="D10" i="49"/>
  <c r="H13" i="6" s="1"/>
  <c r="D6" i="49"/>
  <c r="D13" i="49"/>
  <c r="B13" i="6" s="1"/>
  <c r="H12" i="6" l="1"/>
  <c r="H19" i="6" s="1"/>
  <c r="H42" i="6" s="1"/>
  <c r="B12" i="6"/>
  <c r="B19" i="6" s="1"/>
  <c r="B42" i="6" s="1"/>
  <c r="C12" i="6"/>
  <c r="C19" i="6" s="1"/>
  <c r="C42" i="6" s="1"/>
  <c r="I12" i="6"/>
  <c r="I19" i="6" s="1"/>
  <c r="I42" i="6" s="1"/>
  <c r="F12" i="6"/>
  <c r="G12" i="6"/>
  <c r="G19" i="6" s="1"/>
  <c r="G42" i="6" s="1"/>
  <c r="D15" i="49"/>
  <c r="D13" i="6"/>
  <c r="E13" i="6"/>
  <c r="J13" i="6" l="1"/>
  <c r="E12" i="6"/>
  <c r="E19" i="6" s="1"/>
  <c r="E42" i="6" s="1"/>
  <c r="D12" i="6"/>
  <c r="F19" i="6"/>
  <c r="F42" i="6" s="1"/>
  <c r="J12" i="6" l="1"/>
  <c r="J19" i="6" s="1"/>
  <c r="J42" i="6" s="1"/>
  <c r="J70" i="6" s="1"/>
  <c r="J71" i="6" s="1"/>
  <c r="D19" i="6"/>
  <c r="D42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Arlitha Williams-Harmon</author>
  </authors>
  <commentList>
    <comment ref="A49" authorId="0" shapeId="0" xr:uid="{52BC7E21-7D94-4BE4-A001-46A48C556EB5}">
      <text>
        <r>
          <rPr>
            <b/>
            <sz val="9"/>
            <color indexed="81"/>
            <rFont val="Tahoma"/>
            <family val="2"/>
          </rPr>
          <t>Source: Last Version of the prior year adopted budget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Arlitha Williams-Harmon</author>
  </authors>
  <commentList>
    <comment ref="P342" authorId="0" shapeId="0" xr:uid="{8B8A95AA-AEF7-46A5-84D1-8BA49BE42BC1}">
      <text>
        <r>
          <rPr>
            <b/>
            <sz val="9"/>
            <color indexed="81"/>
            <rFont val="Tahoma"/>
            <family val="2"/>
          </rPr>
          <t>Arlitha Williams-Harmon:</t>
        </r>
        <r>
          <rPr>
            <sz val="9"/>
            <color indexed="81"/>
            <rFont val="Tahoma"/>
            <family val="2"/>
          </rPr>
          <t xml:space="preserve">
Adjust in Sept 21 (prior to audit) with intra-fund transfer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Arlitha Williams-Harmon</author>
  </authors>
  <commentList>
    <comment ref="E49" authorId="0" shapeId="0" xr:uid="{B983CC30-09AF-4C8C-8ACE-09FE4D34C7B2}">
      <text>
        <r>
          <rPr>
            <b/>
            <sz val="9"/>
            <color indexed="81"/>
            <rFont val="Tahoma"/>
            <family val="2"/>
          </rPr>
          <t>To be filled by Klautitsy Vianey Martinez (Jennie Retired)</t>
        </r>
      </text>
    </comment>
    <comment ref="E79" authorId="0" shapeId="0" xr:uid="{ECC6E741-F4E5-4313-A293-BA5FA6724403}">
      <text>
        <r>
          <rPr>
            <b/>
            <sz val="9"/>
            <color indexed="81"/>
            <rFont val="Tahoma"/>
            <family val="2"/>
          </rPr>
          <t>Vacant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9" authorId="0" shapeId="0" xr:uid="{93394623-83B6-4903-837A-638A271D835F}">
      <text>
        <r>
          <rPr>
            <b/>
            <sz val="9"/>
            <color indexed="81"/>
            <rFont val="Tahoma"/>
            <family val="2"/>
          </rPr>
          <t>HR is increase position from .475 to 1.0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<sst xmlns="http://schemas.openxmlformats.org/spreadsheetml/2006/main" count="5530" uniqueCount="1058">
  <si>
    <t>Kern Community College District</t>
  </si>
  <si>
    <t>Draft</t>
  </si>
  <si>
    <t>2021-22 GU001 District Operations Budget Variance</t>
  </si>
  <si>
    <t>GU001 Regular Salary &amp; Benefit  (excludes Temp Labor)</t>
  </si>
  <si>
    <t>Chancellors Office &amp; Board of Trustees</t>
  </si>
  <si>
    <t>Institutional Research</t>
  </si>
  <si>
    <t>Educational Services</t>
  </si>
  <si>
    <t>Business Services</t>
  </si>
  <si>
    <t>IT</t>
  </si>
  <si>
    <t>Human Resources</t>
  </si>
  <si>
    <t>Legal</t>
  </si>
  <si>
    <t>District Operations</t>
  </si>
  <si>
    <t>TOTAL</t>
  </si>
  <si>
    <t>Variance Inc./Dec.</t>
  </si>
  <si>
    <t>Projected 2021-22 -- Salary &amp; Benefits</t>
  </si>
  <si>
    <t>2020-21 Adopted Budget -- Salary &amp; Benefits</t>
  </si>
  <si>
    <t>Variance Increase/(Decrease)</t>
  </si>
  <si>
    <t>Primary Variances</t>
  </si>
  <si>
    <t>Salary Step and Column and Other Changes</t>
  </si>
  <si>
    <t>Increase in Health Benefits</t>
  </si>
  <si>
    <t>STRS Rate  (Decrease of 1.24%)</t>
  </si>
  <si>
    <t>PERS Rate (Increase of 11.11%)</t>
  </si>
  <si>
    <t/>
  </si>
  <si>
    <t>Position Additions:</t>
  </si>
  <si>
    <t>Budget Analyst</t>
  </si>
  <si>
    <t>Human Resources Assistant (CC &amp;PC)</t>
  </si>
  <si>
    <t>Manager IT Enterprise Projects</t>
  </si>
  <si>
    <t>Database Warehouse Developer (funded by BC)</t>
  </si>
  <si>
    <t>Position Deletions:</t>
  </si>
  <si>
    <t>Human Resources Assistant (PC)</t>
  </si>
  <si>
    <t>Web Developer</t>
  </si>
  <si>
    <t>Positions Not Budgeted:</t>
  </si>
  <si>
    <t>Other:</t>
  </si>
  <si>
    <t>Position Shifts from Categorical/Grants</t>
  </si>
  <si>
    <t>GU001 Non Labor &amp; Debt Service &amp; Temporary Labor</t>
  </si>
  <si>
    <t>Total</t>
  </si>
  <si>
    <t>Total @ April 22, 2014</t>
  </si>
  <si>
    <t>Check Zero</t>
  </si>
  <si>
    <r>
      <t xml:space="preserve">Projected 2021-22 Tentative Budget </t>
    </r>
    <r>
      <rPr>
        <b/>
        <sz val="11"/>
        <color rgb="FFFF0000"/>
        <rFont val="Arial"/>
        <family val="2"/>
      </rPr>
      <t>(including proposed rollover</t>
    </r>
    <r>
      <rPr>
        <b/>
        <sz val="11"/>
        <rFont val="Arial"/>
        <family val="2"/>
      </rPr>
      <t>)</t>
    </r>
  </si>
  <si>
    <t>2020-21 Adopted Budget Non-Labor</t>
  </si>
  <si>
    <t>Proposed Carryover from 20-21 or one time expenditures</t>
  </si>
  <si>
    <t>New Non-Labor Budget requests net of Carryover</t>
  </si>
  <si>
    <t>Variances See Attached Worksheet Detail</t>
  </si>
  <si>
    <t>Total Proposed 2021-22 DO Tentative Budget</t>
  </si>
  <si>
    <t>Net Change (includes Carryover)</t>
  </si>
  <si>
    <t>2021-22 Ongoing (does not include rollover or one-time)</t>
  </si>
  <si>
    <t>2020-21 Ongoing (does not include rollover or one-time)</t>
  </si>
  <si>
    <t>Net Increase to Ongoing Costs</t>
  </si>
  <si>
    <t>LESS:  2021-22 Ongoing Labor Increase</t>
  </si>
  <si>
    <t>Change to 2021-22 Ongoing Non Labor</t>
  </si>
  <si>
    <t>Sum of Total Compensation by FOAPAL</t>
  </si>
  <si>
    <t>OR</t>
  </si>
  <si>
    <t>FUND</t>
  </si>
  <si>
    <t>10</t>
  </si>
  <si>
    <t>11</t>
  </si>
  <si>
    <t>12</t>
  </si>
  <si>
    <t>13</t>
  </si>
  <si>
    <t>14</t>
  </si>
  <si>
    <t>15</t>
  </si>
  <si>
    <t>16</t>
  </si>
  <si>
    <t>D0</t>
  </si>
  <si>
    <t>R0</t>
  </si>
  <si>
    <t>R2</t>
  </si>
  <si>
    <t>Grand Total</t>
  </si>
  <si>
    <t>GU001</t>
  </si>
  <si>
    <t>Sum of 2022 3% Reduction</t>
  </si>
  <si>
    <t>Org Level 3</t>
  </si>
  <si>
    <t>Sum of 2021 Adopted Budget</t>
  </si>
  <si>
    <t xml:space="preserve"> Account</t>
  </si>
  <si>
    <t>1419</t>
  </si>
  <si>
    <t>2199</t>
  </si>
  <si>
    <t>2392</t>
  </si>
  <si>
    <t>2393</t>
  </si>
  <si>
    <t>2394</t>
  </si>
  <si>
    <t>2399</t>
  </si>
  <si>
    <t>4211</t>
  </si>
  <si>
    <t>4310</t>
  </si>
  <si>
    <t>4312</t>
  </si>
  <si>
    <t>4313</t>
  </si>
  <si>
    <t>4315</t>
  </si>
  <si>
    <t>4320</t>
  </si>
  <si>
    <t>4321</t>
  </si>
  <si>
    <t>5118</t>
  </si>
  <si>
    <t>5119</t>
  </si>
  <si>
    <t>5150</t>
  </si>
  <si>
    <t>5209</t>
  </si>
  <si>
    <t>5220</t>
  </si>
  <si>
    <t>5220DT</t>
  </si>
  <si>
    <t>5221</t>
  </si>
  <si>
    <t>5230</t>
  </si>
  <si>
    <t>5300</t>
  </si>
  <si>
    <t>5310</t>
  </si>
  <si>
    <t>5400</t>
  </si>
  <si>
    <t>5406</t>
  </si>
  <si>
    <t>5407</t>
  </si>
  <si>
    <t>5520</t>
  </si>
  <si>
    <t>5530</t>
  </si>
  <si>
    <t>5540</t>
  </si>
  <si>
    <t>5550</t>
  </si>
  <si>
    <t>5560</t>
  </si>
  <si>
    <t>5570</t>
  </si>
  <si>
    <t>5581</t>
  </si>
  <si>
    <t>5583</t>
  </si>
  <si>
    <t>5590</t>
  </si>
  <si>
    <t>5603</t>
  </si>
  <si>
    <t>5608</t>
  </si>
  <si>
    <t>5650</t>
  </si>
  <si>
    <t>5651</t>
  </si>
  <si>
    <t>5652</t>
  </si>
  <si>
    <t>5671</t>
  </si>
  <si>
    <t>5681</t>
  </si>
  <si>
    <t>5683</t>
  </si>
  <si>
    <t>5684</t>
  </si>
  <si>
    <t>5685</t>
  </si>
  <si>
    <t>5686</t>
  </si>
  <si>
    <t>5690</t>
  </si>
  <si>
    <t>5691</t>
  </si>
  <si>
    <t>5700</t>
  </si>
  <si>
    <t>5720</t>
  </si>
  <si>
    <t>5731</t>
  </si>
  <si>
    <t>5733</t>
  </si>
  <si>
    <t>5740</t>
  </si>
  <si>
    <t>5790</t>
  </si>
  <si>
    <t>5810</t>
  </si>
  <si>
    <t>5813</t>
  </si>
  <si>
    <t>5820</t>
  </si>
  <si>
    <t>5830</t>
  </si>
  <si>
    <t>5831</t>
  </si>
  <si>
    <t>5835</t>
  </si>
  <si>
    <t>5838</t>
  </si>
  <si>
    <t>5840</t>
  </si>
  <si>
    <t>5860</t>
  </si>
  <si>
    <t>5861</t>
  </si>
  <si>
    <t>5869</t>
  </si>
  <si>
    <t>5870</t>
  </si>
  <si>
    <t>5880</t>
  </si>
  <si>
    <t>5890</t>
  </si>
  <si>
    <t>5895</t>
  </si>
  <si>
    <t>5911</t>
  </si>
  <si>
    <t>6120</t>
  </si>
  <si>
    <t>6210C</t>
  </si>
  <si>
    <t>6411</t>
  </si>
  <si>
    <t>6412</t>
  </si>
  <si>
    <t>6412FA</t>
  </si>
  <si>
    <t>6413FA</t>
  </si>
  <si>
    <t>6414</t>
  </si>
  <si>
    <t>6414FA</t>
  </si>
  <si>
    <t>6419</t>
  </si>
  <si>
    <t>6419FA</t>
  </si>
  <si>
    <t>6498</t>
  </si>
  <si>
    <t>7110</t>
  </si>
  <si>
    <t>7111</t>
  </si>
  <si>
    <t>7201</t>
  </si>
  <si>
    <t>7312</t>
  </si>
  <si>
    <t xml:space="preserve"> Fund</t>
  </si>
  <si>
    <t>Dept</t>
  </si>
  <si>
    <t xml:space="preserve">Org Code </t>
  </si>
  <si>
    <t xml:space="preserve"> Org Description</t>
  </si>
  <si>
    <t xml:space="preserve"> Account Description</t>
  </si>
  <si>
    <t xml:space="preserve"> Program</t>
  </si>
  <si>
    <t xml:space="preserve"> Activity</t>
  </si>
  <si>
    <t xml:space="preserve"> Location</t>
  </si>
  <si>
    <t>2019 Adopted Budget</t>
  </si>
  <si>
    <t>2019 Actual Expenses</t>
  </si>
  <si>
    <t>2020 Adopted Budget</t>
  </si>
  <si>
    <t>2020 Actual Expenses</t>
  </si>
  <si>
    <t>2021 Adopted Budget</t>
  </si>
  <si>
    <t>2021 Actual Expenses</t>
  </si>
  <si>
    <t>2022 3% Reduction</t>
  </si>
  <si>
    <t>2022 5% Reduction</t>
  </si>
  <si>
    <t>Variance Explanations/ Comments</t>
  </si>
  <si>
    <t>IR</t>
  </si>
  <si>
    <t>10AIR1</t>
  </si>
  <si>
    <t>Institutional Reporting</t>
  </si>
  <si>
    <t>Non-Library/Magazines/Bks/Prdcls</t>
  </si>
  <si>
    <t>679000</t>
  </si>
  <si>
    <t>Non-Inst Supplies &amp; Materials</t>
  </si>
  <si>
    <t>Maybe shifted to fund additional reference books</t>
  </si>
  <si>
    <t>Oth Non-Inst Consulting Services</t>
  </si>
  <si>
    <t>Employee Travel</t>
  </si>
  <si>
    <t>CCCCO Conference - Spring 2022</t>
  </si>
  <si>
    <t>(Local) Online Training/Webinar</t>
  </si>
  <si>
    <t>Online data warehouse training</t>
  </si>
  <si>
    <t>Food/Meetings</t>
  </si>
  <si>
    <t>Institutional Dues/Memberships</t>
  </si>
  <si>
    <t>Software Licensing/Maintenance Svcs</t>
  </si>
  <si>
    <t>Does not reflect the proposed expansion of Tableau $15K or transfer to the IT budget</t>
  </si>
  <si>
    <t>Computer/Technology Equipment</t>
  </si>
  <si>
    <t>Intrafund Transfers Out</t>
  </si>
  <si>
    <t>731001</t>
  </si>
  <si>
    <t>Ed Srvcs</t>
  </si>
  <si>
    <t>110ES1</t>
  </si>
  <si>
    <t>Edu Svcs. - Operating Budget</t>
  </si>
  <si>
    <t>Non-Admin Non-Instr Prof Expt</t>
  </si>
  <si>
    <t>DTL001</t>
  </si>
  <si>
    <t>Check to see if necessary</t>
  </si>
  <si>
    <t>Should this be move 6310?</t>
  </si>
  <si>
    <t>Inst Supplies &amp; Materials</t>
  </si>
  <si>
    <t>FY21- Transfer to Trudy if not going to be spent</t>
  </si>
  <si>
    <t>May be potential source of a reduction</t>
  </si>
  <si>
    <t>Educational Master Plan Year ???</t>
  </si>
  <si>
    <t>Non-Employee Travel</t>
  </si>
  <si>
    <t>Possible half reduction</t>
  </si>
  <si>
    <t>CI</t>
  </si>
  <si>
    <t>Equip Maint Agreements</t>
  </si>
  <si>
    <t>Other Professional Fees</t>
  </si>
  <si>
    <t>General Advertising Services</t>
  </si>
  <si>
    <t>Computer/Tech Equipment</t>
  </si>
  <si>
    <t>110LA0</t>
  </si>
  <si>
    <t>Leadership Academy</t>
  </si>
  <si>
    <t>Acad Emp - Non-Inst Non Cont</t>
  </si>
  <si>
    <t>684000</t>
  </si>
  <si>
    <t>Check with Denise</t>
  </si>
  <si>
    <t>Natural Gas/LPG</t>
  </si>
  <si>
    <t>Postage/Express Overnight Svcs</t>
  </si>
  <si>
    <t>110WT1</t>
  </si>
  <si>
    <t>WESTEC Contract</t>
  </si>
  <si>
    <t>Cont Instruction</t>
  </si>
  <si>
    <t>210500</t>
  </si>
  <si>
    <t>See Tom's tenative budget decline projections</t>
  </si>
  <si>
    <t>11BA01</t>
  </si>
  <si>
    <t>CCPT2 - District</t>
  </si>
  <si>
    <t>11BWD1</t>
  </si>
  <si>
    <t>Economic &amp; Workforce Development</t>
  </si>
  <si>
    <t>602010</t>
  </si>
  <si>
    <t>Data Communication Services</t>
  </si>
  <si>
    <t>Library/Audio Visual Equipment</t>
  </si>
  <si>
    <t>Furniture</t>
  </si>
  <si>
    <t>Bus Srvcs</t>
  </si>
  <si>
    <t>120BS0</t>
  </si>
  <si>
    <t>Admin Svcs - Operating Budget</t>
  </si>
  <si>
    <t>Classified Salary Abatement</t>
  </si>
  <si>
    <t>Non-Inst Students</t>
  </si>
  <si>
    <t>672000</t>
  </si>
  <si>
    <t>Cls Oth - Temp</t>
  </si>
  <si>
    <t>Review Dale Scott and Bank Mobile Contractual charges</t>
  </si>
  <si>
    <t>Split w/Acct 5220 due to Fall COVID</t>
  </si>
  <si>
    <t>Employee Travel DO</t>
  </si>
  <si>
    <t>Building Maintenance</t>
  </si>
  <si>
    <t>651000</t>
  </si>
  <si>
    <t>CIC017</t>
  </si>
  <si>
    <t>CM</t>
  </si>
  <si>
    <t>Oth Equipment Maint Agreements</t>
  </si>
  <si>
    <t>Other Maintenance Contracts</t>
  </si>
  <si>
    <t>Attorney Fees - Oth</t>
  </si>
  <si>
    <t>Settlement Expense</t>
  </si>
  <si>
    <t>Bank Charges</t>
  </si>
  <si>
    <t>Review Official Payments charges</t>
  </si>
  <si>
    <t>Credit Card Expense</t>
  </si>
  <si>
    <t>Bad Debt Expense</t>
  </si>
  <si>
    <t>Collection Services</t>
  </si>
  <si>
    <t>Interest - Current Debt</t>
  </si>
  <si>
    <t>Cash Over - Short</t>
  </si>
  <si>
    <t>Taxes - Licenses &amp; Permits</t>
  </si>
  <si>
    <t>Other Services &amp; Expenses</t>
  </si>
  <si>
    <t>Prior Periods Adjustments</t>
  </si>
  <si>
    <t>Other Equipment</t>
  </si>
  <si>
    <t>7205</t>
  </si>
  <si>
    <t>Intrafund Transfers In</t>
  </si>
  <si>
    <t>7910</t>
  </si>
  <si>
    <t>Unrestricted</t>
  </si>
  <si>
    <t>120BS1</t>
  </si>
  <si>
    <t>Purchasing</t>
  </si>
  <si>
    <t>iContracts budgeted in IT for FY22; this is for a travel software</t>
  </si>
  <si>
    <t>120BS8</t>
  </si>
  <si>
    <t>Insurance Claims</t>
  </si>
  <si>
    <t>Maint &amp; Repairs Supplies</t>
  </si>
  <si>
    <t>BIC018</t>
  </si>
  <si>
    <t>Vehicle Supplies - Parts</t>
  </si>
  <si>
    <t>BIC023</t>
  </si>
  <si>
    <t>BIC021</t>
  </si>
  <si>
    <t>Insurance Deductibles</t>
  </si>
  <si>
    <t>CIC018</t>
  </si>
  <si>
    <t>BIC019</t>
  </si>
  <si>
    <t>PIC005</t>
  </si>
  <si>
    <t>CIC015</t>
  </si>
  <si>
    <t>DIC007</t>
  </si>
  <si>
    <t>DIC005</t>
  </si>
  <si>
    <t>DIC006</t>
  </si>
  <si>
    <t>BIC022</t>
  </si>
  <si>
    <t>PIC006</t>
  </si>
  <si>
    <t>CIC022</t>
  </si>
  <si>
    <t>CIC023</t>
  </si>
  <si>
    <t>Vehicle Repairs &amp; Maintenance</t>
  </si>
  <si>
    <t>Other Maintenance/Repairs</t>
  </si>
  <si>
    <t>BIC024</t>
  </si>
  <si>
    <t>BIC017</t>
  </si>
  <si>
    <t>659011</t>
  </si>
  <si>
    <t>122BS2</t>
  </si>
  <si>
    <t>Accounting &amp; Special Services</t>
  </si>
  <si>
    <t>Class Non-Instr Overtime</t>
  </si>
  <si>
    <t>Indirect Cost(Reimbursement)</t>
  </si>
  <si>
    <t>122BS3</t>
  </si>
  <si>
    <t>BC Business Office</t>
  </si>
  <si>
    <t>BTL001</t>
  </si>
  <si>
    <t>Maybe able to reduce fees due to electronic deposits and transition expenses to the auxilary BF100</t>
  </si>
  <si>
    <t>122BS4</t>
  </si>
  <si>
    <t>PC Business Office</t>
  </si>
  <si>
    <t>122BS5</t>
  </si>
  <si>
    <t>CC Business Office</t>
  </si>
  <si>
    <t>122BS6</t>
  </si>
  <si>
    <t>Cash Accts Receivable&amp;Special Svcs.</t>
  </si>
  <si>
    <t>122BS7</t>
  </si>
  <si>
    <t>Accounts Payable</t>
  </si>
  <si>
    <t>Legal Advertising</t>
  </si>
  <si>
    <t>R20BS1</t>
  </si>
  <si>
    <t>Regulatory Business Services</t>
  </si>
  <si>
    <t>OPEB Act. Study (GASB 75)</t>
  </si>
  <si>
    <t>Comprehensive/Liab/Prpty/Auto Ins)</t>
  </si>
  <si>
    <t>SWACC &amp; Hazard Insurance</t>
  </si>
  <si>
    <t>Student Insurance</t>
  </si>
  <si>
    <t>Not reducing due to COVID</t>
  </si>
  <si>
    <t>Annual Fiscal Audit</t>
  </si>
  <si>
    <t xml:space="preserve">Increase in FS, OPEB, Public Facilities Corp, and Measure J &amp; G </t>
  </si>
  <si>
    <t>Debt Reduction</t>
  </si>
  <si>
    <t>720000</t>
  </si>
  <si>
    <t>2008 OPEB - Per the Debt Schedule</t>
  </si>
  <si>
    <t>Debt Interest &amp; Other Charges</t>
  </si>
  <si>
    <t>Interfund Transfers - Out</t>
  </si>
  <si>
    <t>130IB9</t>
  </si>
  <si>
    <t>IT-Banner Banner 9 Dist Wide</t>
  </si>
  <si>
    <t>130IT0</t>
  </si>
  <si>
    <t>IT-Vice Chancellor, CIO</t>
  </si>
  <si>
    <t>678000</t>
  </si>
  <si>
    <t>131IS0</t>
  </si>
  <si>
    <t>IT-Director, Security</t>
  </si>
  <si>
    <t>Computer Hardware Maint Agreements</t>
  </si>
  <si>
    <t>Comp Ticket Expense</t>
  </si>
  <si>
    <t>132EA0</t>
  </si>
  <si>
    <t>IT-Director, Enterprise Application</t>
  </si>
  <si>
    <t>All Computer Software</t>
  </si>
  <si>
    <t>Are there delays due to COVID?</t>
  </si>
  <si>
    <t>IT Cloud Services</t>
  </si>
  <si>
    <t>133II0</t>
  </si>
  <si>
    <t>IT-Director, IT Infrastructure</t>
  </si>
  <si>
    <t>Rental of Facilities</t>
  </si>
  <si>
    <t>133IM0</t>
  </si>
  <si>
    <t>IT-Networks and System Admin</t>
  </si>
  <si>
    <t>Telephone Services</t>
  </si>
  <si>
    <t>Buildings Construction - C</t>
  </si>
  <si>
    <t>$??? K projects carryover (asking Gary)</t>
  </si>
  <si>
    <t>Gain/Loss on Asset Sale</t>
  </si>
  <si>
    <t>HR</t>
  </si>
  <si>
    <t>140HR0</t>
  </si>
  <si>
    <t>HR - Vice Chancellor</t>
  </si>
  <si>
    <t>673000</t>
  </si>
  <si>
    <t>PTL001</t>
  </si>
  <si>
    <t>677050</t>
  </si>
  <si>
    <t>to be offset by SWAAC savings in Business Services</t>
  </si>
  <si>
    <t>Consortium Dues/Memberships</t>
  </si>
  <si>
    <t>Disposal Services</t>
  </si>
  <si>
    <t>Internet Access</t>
  </si>
  <si>
    <t>Fingerprinting Services</t>
  </si>
  <si>
    <t>Physical Examinations/Tests</t>
  </si>
  <si>
    <t>Printing/Duplicating Service</t>
  </si>
  <si>
    <t xml:space="preserve"> </t>
  </si>
  <si>
    <t>140HR1</t>
  </si>
  <si>
    <t>HR - Director</t>
  </si>
  <si>
    <t>140HR6</t>
  </si>
  <si>
    <t>HR - Risk Mgmt &amp; Safety</t>
  </si>
  <si>
    <t>CEQ001</t>
  </si>
  <si>
    <t>677099</t>
  </si>
  <si>
    <t>CEQ014</t>
  </si>
  <si>
    <t>Hazardous Waste Disposal</t>
  </si>
  <si>
    <t>Joe Grubbs requested annual increase of $48,376 for 2021-22 and ongoing</t>
  </si>
  <si>
    <t>140HR8</t>
  </si>
  <si>
    <t>Payroll</t>
  </si>
  <si>
    <t>145HR3</t>
  </si>
  <si>
    <t>Human Resources - BC</t>
  </si>
  <si>
    <t>145HR4</t>
  </si>
  <si>
    <t>Human Resources - PC</t>
  </si>
  <si>
    <t>145HR5</t>
  </si>
  <si>
    <t>Human Resources - CC</t>
  </si>
  <si>
    <t>Dist Oper</t>
  </si>
  <si>
    <t>D01CO2</t>
  </si>
  <si>
    <t>District Office</t>
  </si>
  <si>
    <t>677010</t>
  </si>
  <si>
    <t>This account was used in error w/o activity code. This should not be used as part of our budget outside of DO custodial staff; two positions only.</t>
  </si>
  <si>
    <t>677040</t>
  </si>
  <si>
    <t>Anticipated Chancellor compensation allowance</t>
  </si>
  <si>
    <t>660010</t>
  </si>
  <si>
    <t>Fuel - Lubricants</t>
  </si>
  <si>
    <t>Hotep added mid-year by CEO w/o budget consult</t>
  </si>
  <si>
    <t>Light - Electricity</t>
  </si>
  <si>
    <t>Water - Sanitation</t>
  </si>
  <si>
    <t>Pest Control</t>
  </si>
  <si>
    <t>Other Utilities</t>
  </si>
  <si>
    <t>This amount was added prior to my entries; why?incorrect</t>
  </si>
  <si>
    <t>Oper/Lease Cntrcts-ie Cars-Copiers</t>
  </si>
  <si>
    <t>not sure about this account? Issue w/ activity code</t>
  </si>
  <si>
    <t>DLMS02</t>
  </si>
  <si>
    <t>not sure about this account??</t>
  </si>
  <si>
    <t>Grounds Maintenance</t>
  </si>
  <si>
    <t>question about this account; based on prior year actuals; Weill Center chargeback paid in the carryover now adjust in Sept 21 (prior to audit) with intra-fund transfer</t>
  </si>
  <si>
    <t>Site Improvement</t>
  </si>
  <si>
    <t>Autos and Busses</t>
  </si>
  <si>
    <t>Air Quality Control District grant  reimbursements</t>
  </si>
  <si>
    <t>Chancellor/BOT</t>
  </si>
  <si>
    <t>R00CO1</t>
  </si>
  <si>
    <t>Regulatory Chancellors Office</t>
  </si>
  <si>
    <t>R01BT1</t>
  </si>
  <si>
    <t>Regulatory Board of Trustees</t>
  </si>
  <si>
    <t>Cont Security Services</t>
  </si>
  <si>
    <t>660020</t>
  </si>
  <si>
    <t>This account needs to be removed; duplicate</t>
  </si>
  <si>
    <t>Trustee Election</t>
  </si>
  <si>
    <t>FY21 was an Election Year</t>
  </si>
  <si>
    <t>150LE0</t>
  </si>
  <si>
    <t>General Counsel</t>
  </si>
  <si>
    <t>660030</t>
  </si>
  <si>
    <t>150LE1</t>
  </si>
  <si>
    <t>Legal Investigations</t>
  </si>
  <si>
    <t>Column Labels</t>
  </si>
  <si>
    <t>Values</t>
  </si>
  <si>
    <t>Sum of STRS - 930</t>
  </si>
  <si>
    <t>Sum of PERS - 999</t>
  </si>
  <si>
    <t>Change in PERS</t>
  </si>
  <si>
    <t>Change in STRS</t>
  </si>
  <si>
    <t>Fiscal Year 2020-21</t>
  </si>
  <si>
    <t>Decrease In STRS</t>
  </si>
  <si>
    <t>Net Change</t>
  </si>
  <si>
    <t>Increase in PERS</t>
  </si>
  <si>
    <t>Row Labels</t>
  </si>
  <si>
    <t>2021-22 Budget Labor</t>
  </si>
  <si>
    <t>2020-21 Budget Labor</t>
  </si>
  <si>
    <t>POSITION2</t>
  </si>
  <si>
    <t>POSITION_TITLE</t>
  </si>
  <si>
    <t>DTC042</t>
  </si>
  <si>
    <t>Department Assistant III-temp</t>
  </si>
  <si>
    <t>?</t>
  </si>
  <si>
    <t>Data Warehouse Developer</t>
  </si>
  <si>
    <t>DMC001</t>
  </si>
  <si>
    <t>Cloud Infrastructure Engineer</t>
  </si>
  <si>
    <t>DMC002</t>
  </si>
  <si>
    <t>Enterprise Res Plan Analyst II</t>
  </si>
  <si>
    <t>DMC003</t>
  </si>
  <si>
    <t>Enterprise Res Plan Analyst I</t>
  </si>
  <si>
    <t>DMC028</t>
  </si>
  <si>
    <t>DMC030</t>
  </si>
  <si>
    <t>WAN Engineer</t>
  </si>
  <si>
    <t>DMC040</t>
  </si>
  <si>
    <t>Security Specialist</t>
  </si>
  <si>
    <t>Identity Management Engineer</t>
  </si>
  <si>
    <t>DMC042</t>
  </si>
  <si>
    <t>Senior Systems Administrator</t>
  </si>
  <si>
    <t>Systems Administration Manager</t>
  </si>
  <si>
    <t>DMC049</t>
  </si>
  <si>
    <t>Administrative Assistant</t>
  </si>
  <si>
    <t>DMC051</t>
  </si>
  <si>
    <t>DMC064</t>
  </si>
  <si>
    <t>Systems Administrator</t>
  </si>
  <si>
    <t>DMC083</t>
  </si>
  <si>
    <t>DMC084</t>
  </si>
  <si>
    <t>Database Administrator II</t>
  </si>
  <si>
    <t>DMC098</t>
  </si>
  <si>
    <t>Database Administrator I</t>
  </si>
  <si>
    <t>DMC100</t>
  </si>
  <si>
    <t>DMC124</t>
  </si>
  <si>
    <t>Network Engineer</t>
  </si>
  <si>
    <t>DMC126</t>
  </si>
  <si>
    <t>Systems Support Specialist I</t>
  </si>
  <si>
    <t>DMC127</t>
  </si>
  <si>
    <t>Cloud Application Engineer</t>
  </si>
  <si>
    <t>Cloud Applications Engineer</t>
  </si>
  <si>
    <t>DMC128</t>
  </si>
  <si>
    <t>DMC138</t>
  </si>
  <si>
    <t>Data Warehouse Administrator</t>
  </si>
  <si>
    <t>DMC139</t>
  </si>
  <si>
    <t>DMC147</t>
  </si>
  <si>
    <t>DMC151</t>
  </si>
  <si>
    <t>Systems Support Analyst</t>
  </si>
  <si>
    <t>DMC159</t>
  </si>
  <si>
    <t>DMC160</t>
  </si>
  <si>
    <t>DMC163</t>
  </si>
  <si>
    <t>DMC164</t>
  </si>
  <si>
    <t>DMC170</t>
  </si>
  <si>
    <t>Security Engineer</t>
  </si>
  <si>
    <t>DMC174</t>
  </si>
  <si>
    <t>Department Assistant III</t>
  </si>
  <si>
    <t>DMC175</t>
  </si>
  <si>
    <t>(blank)</t>
  </si>
  <si>
    <t>DMN042</t>
  </si>
  <si>
    <t>IT Customer Support Op Manager</t>
  </si>
  <si>
    <t>DMN054</t>
  </si>
  <si>
    <t>Director, IT security</t>
  </si>
  <si>
    <t>DMN063</t>
  </si>
  <si>
    <t>Director, Enterprise Applctns</t>
  </si>
  <si>
    <t>DMN065</t>
  </si>
  <si>
    <t>Chief Information Officer</t>
  </si>
  <si>
    <t>DMN066</t>
  </si>
  <si>
    <t>Assoc Dir, Enterprise Applctns</t>
  </si>
  <si>
    <t>DMN067</t>
  </si>
  <si>
    <t>Director of IT Infrastructure</t>
  </si>
  <si>
    <t>GU001 Total</t>
  </si>
  <si>
    <t>DMN055</t>
  </si>
  <si>
    <t>Manager-IT Enterprise Projects</t>
  </si>
  <si>
    <t>Confirm Hiring Status</t>
  </si>
  <si>
    <t>Check FOAPAL</t>
  </si>
  <si>
    <t>Check w/Bonita or Ed Srvcs</t>
  </si>
  <si>
    <t>ID</t>
  </si>
  <si>
    <t>NAME</t>
  </si>
  <si>
    <t>Grade</t>
  </si>
  <si>
    <t>Step</t>
  </si>
  <si>
    <t>E-Class Summary</t>
  </si>
  <si>
    <t>E-Class</t>
  </si>
  <si>
    <t>POSITION STATUS</t>
  </si>
  <si>
    <t>PBUD FTE</t>
  </si>
  <si>
    <t>JOBS Appointment</t>
  </si>
  <si>
    <t>JOBS FTE</t>
  </si>
  <si>
    <t>ORG</t>
  </si>
  <si>
    <t>ACCT</t>
  </si>
  <si>
    <t>PROG</t>
  </si>
  <si>
    <t>ACT</t>
  </si>
  <si>
    <t>LOC</t>
  </si>
  <si>
    <t>PERCENTAGE</t>
  </si>
  <si>
    <t>Total Salary</t>
  </si>
  <si>
    <t>Salary by FOAPAL</t>
  </si>
  <si>
    <t>Benefits by FOAPAL</t>
  </si>
  <si>
    <t>Total Compensation by FOAPAL</t>
  </si>
  <si>
    <t>Vision - 490</t>
  </si>
  <si>
    <t>Life - 491</t>
  </si>
  <si>
    <t>Health - 331</t>
  </si>
  <si>
    <t>Dental - 493</t>
  </si>
  <si>
    <t>CELL ALLOW - CEP</t>
  </si>
  <si>
    <t>OPEB-ARC - 485</t>
  </si>
  <si>
    <t>Def Ben - 519</t>
  </si>
  <si>
    <t>Medicar - 906</t>
  </si>
  <si>
    <t>W/C - 912</t>
  </si>
  <si>
    <t>403B Acct</t>
  </si>
  <si>
    <t>LTD - 913</t>
  </si>
  <si>
    <t>Unempl - 914</t>
  </si>
  <si>
    <t>STRS - 930</t>
  </si>
  <si>
    <t>OASDI - 994</t>
  </si>
  <si>
    <t>PERS - 999</t>
  </si>
  <si>
    <t>Step and Impact Classified</t>
  </si>
  <si>
    <t>Step and Impact MGT and Conf</t>
  </si>
  <si>
    <t>DMC140</t>
  </si>
  <si>
    <t>Accounting Technician II</t>
  </si>
  <si>
    <t>@00714371</t>
  </si>
  <si>
    <t>Geary, Camellia</t>
  </si>
  <si>
    <t>410</t>
  </si>
  <si>
    <t>CA</t>
  </si>
  <si>
    <t>A</t>
  </si>
  <si>
    <t>BF100</t>
  </si>
  <si>
    <t>2191</t>
  </si>
  <si>
    <t>DMC130</t>
  </si>
  <si>
    <t>Department Assistant II</t>
  </si>
  <si>
    <t>CE005</t>
  </si>
  <si>
    <t>117ET8</t>
  </si>
  <si>
    <t>DMC166</t>
  </si>
  <si>
    <t>Workforce Prep Assistant</t>
  </si>
  <si>
    <t>@00064745</t>
  </si>
  <si>
    <t>Beed, Anna B.</t>
  </si>
  <si>
    <t>425</t>
  </si>
  <si>
    <t>DMN043</t>
  </si>
  <si>
    <t>Director, Clean Energy Center</t>
  </si>
  <si>
    <t>@00412898</t>
  </si>
  <si>
    <t>Teasdale, David G.</t>
  </si>
  <si>
    <t>J</t>
  </si>
  <si>
    <t>M2</t>
  </si>
  <si>
    <t>2110</t>
  </si>
  <si>
    <t>DMN056</t>
  </si>
  <si>
    <t>Training Manager - COF</t>
  </si>
  <si>
    <t>@00484050</t>
  </si>
  <si>
    <t>Elliott, William Vacant</t>
  </si>
  <si>
    <t>G</t>
  </si>
  <si>
    <t>DMC149</t>
  </si>
  <si>
    <t>@00453302</t>
  </si>
  <si>
    <t>Lopez, Betsaira</t>
  </si>
  <si>
    <t>CE015</t>
  </si>
  <si>
    <t>11BCR1</t>
  </si>
  <si>
    <t>DMC154</t>
  </si>
  <si>
    <t>Computer Lab Assistant</t>
  </si>
  <si>
    <t>Delete??</t>
  </si>
  <si>
    <t>CY</t>
  </si>
  <si>
    <t>BMC531</t>
  </si>
  <si>
    <t>Educational Trainer</t>
  </si>
  <si>
    <t>@00003639</t>
  </si>
  <si>
    <t>Casagrande, Richard M.</t>
  </si>
  <si>
    <t>490</t>
  </si>
  <si>
    <t>CZ</t>
  </si>
  <si>
    <t>CE035</t>
  </si>
  <si>
    <t>11BBC3</t>
  </si>
  <si>
    <t>DMC148</t>
  </si>
  <si>
    <t>DMN073</t>
  </si>
  <si>
    <t>Dir, Economic Dev &amp; Corp Trng</t>
  </si>
  <si>
    <t>H</t>
  </si>
  <si>
    <t>BEC018</t>
  </si>
  <si>
    <t>@00058294</t>
  </si>
  <si>
    <t>Horton, Genevieve T.</t>
  </si>
  <si>
    <t>445</t>
  </si>
  <si>
    <t>BMC503</t>
  </si>
  <si>
    <t>Public Safety Officer I</t>
  </si>
  <si>
    <t>@00597540</t>
  </si>
  <si>
    <t>Goode, Jared J.</t>
  </si>
  <si>
    <t>375</t>
  </si>
  <si>
    <t>BMC699</t>
  </si>
  <si>
    <t>Public Safety Officer II</t>
  </si>
  <si>
    <t>@00380380</t>
  </si>
  <si>
    <t>Orozco Jr, Ricardo</t>
  </si>
  <si>
    <t>BMF238</t>
  </si>
  <si>
    <t>Instructor, English</t>
  </si>
  <si>
    <t>@00000269</t>
  </si>
  <si>
    <t>Boyles, Pamela K.</t>
  </si>
  <si>
    <t>04</t>
  </si>
  <si>
    <t>N1</t>
  </si>
  <si>
    <t>1251</t>
  </si>
  <si>
    <t>BMF515</t>
  </si>
  <si>
    <t>@00054526</t>
  </si>
  <si>
    <t>Tatum, Ann M.</t>
  </si>
  <si>
    <t>I1</t>
  </si>
  <si>
    <t>CMF022</t>
  </si>
  <si>
    <t>Instructor, Reading</t>
  </si>
  <si>
    <t>@00409473</t>
  </si>
  <si>
    <t>Vasquez, Laura J.</t>
  </si>
  <si>
    <t>02</t>
  </si>
  <si>
    <t>601000</t>
  </si>
  <si>
    <t>CMF039</t>
  </si>
  <si>
    <t>Instructor, English Basic Skls</t>
  </si>
  <si>
    <t>@00425782</t>
  </si>
  <si>
    <t>Crow, Matthew</t>
  </si>
  <si>
    <t>03</t>
  </si>
  <si>
    <t>@00003300</t>
  </si>
  <si>
    <t>Arnold, Michael W.</t>
  </si>
  <si>
    <t>540</t>
  </si>
  <si>
    <t>@00004260</t>
  </si>
  <si>
    <t>Chiang, Charley C.</t>
  </si>
  <si>
    <t>530</t>
  </si>
  <si>
    <t>@00650501</t>
  </si>
  <si>
    <t>Raboy, Michael</t>
  </si>
  <si>
    <t>515</t>
  </si>
  <si>
    <t>DMC009</t>
  </si>
  <si>
    <t>@00456143</t>
  </si>
  <si>
    <t>Zorrilla, Claribeth</t>
  </si>
  <si>
    <t>DMC012</t>
  </si>
  <si>
    <t>@00121146</t>
  </si>
  <si>
    <t>Peters, Jacqueline D.</t>
  </si>
  <si>
    <t>DMC016</t>
  </si>
  <si>
    <t>Benefits Specialist</t>
  </si>
  <si>
    <t>@00057669</t>
  </si>
  <si>
    <t>Banducci, Gina D.</t>
  </si>
  <si>
    <t>DMC018</t>
  </si>
  <si>
    <t>@00300770</t>
  </si>
  <si>
    <t>Medina, Ivan</t>
  </si>
  <si>
    <t>DMC020</t>
  </si>
  <si>
    <t>Accounting Coordinator</t>
  </si>
  <si>
    <t>@00603122</t>
  </si>
  <si>
    <t>Heredia, Enrique L.</t>
  </si>
  <si>
    <t>DMC021</t>
  </si>
  <si>
    <t>@00038363</t>
  </si>
  <si>
    <t>Melendez, Lupe I.</t>
  </si>
  <si>
    <t>380</t>
  </si>
  <si>
    <t>DMC023</t>
  </si>
  <si>
    <t>@00000414</t>
  </si>
  <si>
    <t>Gonzalez, Julia A.</t>
  </si>
  <si>
    <t>DMC025</t>
  </si>
  <si>
    <t>@00211959</t>
  </si>
  <si>
    <t>Allen, Rachel R.</t>
  </si>
  <si>
    <t>@00538679</t>
  </si>
  <si>
    <t>Roopawala, Juzar A.</t>
  </si>
  <si>
    <t>@00131490</t>
  </si>
  <si>
    <t>Taylor, Kenneth J.</t>
  </si>
  <si>
    <t>510</t>
  </si>
  <si>
    <t>@00004665</t>
  </si>
  <si>
    <t>Galvez, Marco V.</t>
  </si>
  <si>
    <t>@00243820</t>
  </si>
  <si>
    <t>Ding, Suyun</t>
  </si>
  <si>
    <t>@00003172</t>
  </si>
  <si>
    <t>Munoz, Cynthia</t>
  </si>
  <si>
    <t>Vacant</t>
  </si>
  <si>
    <t>@00631441</t>
  </si>
  <si>
    <t>Wallace, Justin M.</t>
  </si>
  <si>
    <t>525</t>
  </si>
  <si>
    <t>@00257242</t>
  </si>
  <si>
    <t>Tully, Brian A.</t>
  </si>
  <si>
    <t>@00000243</t>
  </si>
  <si>
    <t>Bowman, Carl N.</t>
  </si>
  <si>
    <t>DMC086</t>
  </si>
  <si>
    <t>Human Resources Assistant</t>
  </si>
  <si>
    <t>@00218524</t>
  </si>
  <si>
    <t>Porreco, Jennie E.</t>
  </si>
  <si>
    <t>DMC087</t>
  </si>
  <si>
    <t>@00451196</t>
  </si>
  <si>
    <t>Carlson, Lori D.</t>
  </si>
  <si>
    <t>DMC092</t>
  </si>
  <si>
    <t>@00000238</t>
  </si>
  <si>
    <t>Tutop, Zenaida F.</t>
  </si>
  <si>
    <t>DMC093</t>
  </si>
  <si>
    <t>@00669209</t>
  </si>
  <si>
    <t>Rodriguez, Priscilla</t>
  </si>
  <si>
    <t>DMC094</t>
  </si>
  <si>
    <t>Institutional Research Analyst</t>
  </si>
  <si>
    <t>@00691884</t>
  </si>
  <si>
    <t>Sarabia Ortiz, Rachel R.</t>
  </si>
  <si>
    <t>500</t>
  </si>
  <si>
    <t>@00254317</t>
  </si>
  <si>
    <t>Carrizales, Candy</t>
  </si>
  <si>
    <t>@00438182</t>
  </si>
  <si>
    <t>Tusaw, Dana</t>
  </si>
  <si>
    <t>DMC105</t>
  </si>
  <si>
    <t>DMC108</t>
  </si>
  <si>
    <t>@00682287</t>
  </si>
  <si>
    <t>Fisher, Johanna G.</t>
  </si>
  <si>
    <t>C</t>
  </si>
  <si>
    <t>DMC111</t>
  </si>
  <si>
    <t>Custodian I</t>
  </si>
  <si>
    <t>@00500488</t>
  </si>
  <si>
    <t>Hernandez, Veronica</t>
  </si>
  <si>
    <t>315</t>
  </si>
  <si>
    <t>653000</t>
  </si>
  <si>
    <t>DMC117</t>
  </si>
  <si>
    <t>@00523592</t>
  </si>
  <si>
    <t>Barajas, Jose</t>
  </si>
  <si>
    <t>DMC120</t>
  </si>
  <si>
    <t>Accounting Coordinator (COF)</t>
  </si>
  <si>
    <t>Carlile, Danielle</t>
  </si>
  <si>
    <t>DMC123</t>
  </si>
  <si>
    <t>Purchasing Coordinator/Analyst</t>
  </si>
  <si>
    <t>@00296579</t>
  </si>
  <si>
    <t>Fore, Raquel D.</t>
  </si>
  <si>
    <t>@00520702</t>
  </si>
  <si>
    <t>Lucero, Juan A.</t>
  </si>
  <si>
    <t>@00246023</t>
  </si>
  <si>
    <t>Pryor, Karen L.</t>
  </si>
  <si>
    <t>@00256951</t>
  </si>
  <si>
    <t>White, Joseph C.</t>
  </si>
  <si>
    <t>DMC131</t>
  </si>
  <si>
    <t>@00109804</t>
  </si>
  <si>
    <t>Guzman, Cynthia E.</t>
  </si>
  <si>
    <t>DMC132</t>
  </si>
  <si>
    <t>@00549179</t>
  </si>
  <si>
    <t>Raguingan, Camela</t>
  </si>
  <si>
    <t>DMC134</t>
  </si>
  <si>
    <t>@00277994</t>
  </si>
  <si>
    <t>Castro, Alexandro</t>
  </si>
  <si>
    <t>DMC135</t>
  </si>
  <si>
    <t>@00658581</t>
  </si>
  <si>
    <t>Anderson, Amber D.</t>
  </si>
  <si>
    <t>@00605436</t>
  </si>
  <si>
    <t>Evans, Marsha</t>
  </si>
  <si>
    <t>@00362044</t>
  </si>
  <si>
    <t>Chavarria, Daniel S.</t>
  </si>
  <si>
    <t>DMC141</t>
  </si>
  <si>
    <t>Human Resources Technician</t>
  </si>
  <si>
    <t>@00366128</t>
  </si>
  <si>
    <t>Quintero, Karla Y</t>
  </si>
  <si>
    <t>435</t>
  </si>
  <si>
    <t>DMC145</t>
  </si>
  <si>
    <t>@00056918</t>
  </si>
  <si>
    <t>Blanco, Trudi L.</t>
  </si>
  <si>
    <t>Vacant (Dave H)</t>
  </si>
  <si>
    <t>Vacant (Keith P)</t>
  </si>
  <si>
    <t>@00205536</t>
  </si>
  <si>
    <t>Horton, Jeremy S.</t>
  </si>
  <si>
    <t>DMC150</t>
  </si>
  <si>
    <t>@00518959</t>
  </si>
  <si>
    <t>Platas, Maria L.</t>
  </si>
  <si>
    <t>465</t>
  </si>
  <si>
    <t>@00355096</t>
  </si>
  <si>
    <t>Kuhn, Angelique G.</t>
  </si>
  <si>
    <t>475</t>
  </si>
  <si>
    <t>DMC157</t>
  </si>
  <si>
    <t>@00657178</t>
  </si>
  <si>
    <t>Martinez, Klautitsy V.</t>
  </si>
  <si>
    <t>DMC158</t>
  </si>
  <si>
    <t>Vacant (new)</t>
  </si>
  <si>
    <t>@00071282</t>
  </si>
  <si>
    <t>Kelley, Justin K.</t>
  </si>
  <si>
    <t>@00650502</t>
  </si>
  <si>
    <t>Michal, William</t>
  </si>
  <si>
    <t>DMC161</t>
  </si>
  <si>
    <t>@00376520</t>
  </si>
  <si>
    <t>Caballero, Judy M.</t>
  </si>
  <si>
    <t>@00720833</t>
  </si>
  <si>
    <t>Bunk, Alvin</t>
  </si>
  <si>
    <t>DMC165</t>
  </si>
  <si>
    <t>DMC167</t>
  </si>
  <si>
    <t>Payroll Specialist</t>
  </si>
  <si>
    <t>@00554644</t>
  </si>
  <si>
    <t>Olmos Herrera, Beatriz</t>
  </si>
  <si>
    <t>455</t>
  </si>
  <si>
    <t>DMC168</t>
  </si>
  <si>
    <t>@00063312</t>
  </si>
  <si>
    <t>Goin, Stephanie M.</t>
  </si>
  <si>
    <t>DMC169</t>
  </si>
  <si>
    <t>Coordinator, Risk Mgmt &amp; Safet</t>
  </si>
  <si>
    <t>@00003484</t>
  </si>
  <si>
    <t>Shearer, Sheila J.</t>
  </si>
  <si>
    <t>@00217764</t>
  </si>
  <si>
    <t>Ferree, Patrick R.</t>
  </si>
  <si>
    <t>535</t>
  </si>
  <si>
    <t>@00370396</t>
  </si>
  <si>
    <t>Reyes Bonilla, Mayra A.</t>
  </si>
  <si>
    <t>New Position</t>
  </si>
  <si>
    <t>DML001</t>
  </si>
  <si>
    <t>Educational Services Asst.</t>
  </si>
  <si>
    <t>@00000486</t>
  </si>
  <si>
    <t>Taylor, Denise A.</t>
  </si>
  <si>
    <t>M6</t>
  </si>
  <si>
    <t>2190</t>
  </si>
  <si>
    <t>Reclass?</t>
  </si>
  <si>
    <t>DML002</t>
  </si>
  <si>
    <t>Human Resources Specialist</t>
  </si>
  <si>
    <t>@00450182</t>
  </si>
  <si>
    <t>Calderon, Amalia</t>
  </si>
  <si>
    <t>E</t>
  </si>
  <si>
    <t>replaced staff</t>
  </si>
  <si>
    <t>DML003</t>
  </si>
  <si>
    <t>@00032564</t>
  </si>
  <si>
    <t>Duran, Virginia M.</t>
  </si>
  <si>
    <t>DML004</t>
  </si>
  <si>
    <t>Business Services Assistant</t>
  </si>
  <si>
    <t>@00522367</t>
  </si>
  <si>
    <t>Kemp, Alexandria J.</t>
  </si>
  <si>
    <t>DML010</t>
  </si>
  <si>
    <t>Admin. Asst., Human Resources</t>
  </si>
  <si>
    <t>@00615673</t>
  </si>
  <si>
    <t>Barnes, Mary L.</t>
  </si>
  <si>
    <t>DML011</t>
  </si>
  <si>
    <t>@00277115</t>
  </si>
  <si>
    <t>Gonzalez, Anna M.</t>
  </si>
  <si>
    <t>DML016</t>
  </si>
  <si>
    <t>Exec Asst, General Counsel</t>
  </si>
  <si>
    <t>@00295882</t>
  </si>
  <si>
    <t>Galindo, Suzanne M.</t>
  </si>
  <si>
    <t>DMM001</t>
  </si>
  <si>
    <t>Vice Chancellor, Educ Svcs</t>
  </si>
  <si>
    <t>@00002848</t>
  </si>
  <si>
    <t>Means, John M.</t>
  </si>
  <si>
    <t>M</t>
  </si>
  <si>
    <t>1214</t>
  </si>
  <si>
    <t>DMM004</t>
  </si>
  <si>
    <t>Chancellor</t>
  </si>
  <si>
    <t>@00004268</t>
  </si>
  <si>
    <t>Burke, Thomas</t>
  </si>
  <si>
    <t>DMM027</t>
  </si>
  <si>
    <t>Assoc Vice Chan -Comm,Econ,WF</t>
  </si>
  <si>
    <t>@00709065</t>
  </si>
  <si>
    <t>Gerald, Gertrude G.</t>
  </si>
  <si>
    <t>L</t>
  </si>
  <si>
    <t>M1</t>
  </si>
  <si>
    <t>DMN003</t>
  </si>
  <si>
    <t>Chief Financial Officer</t>
  </si>
  <si>
    <t>DMN004</t>
  </si>
  <si>
    <t>Accounting Manager - BC</t>
  </si>
  <si>
    <t>@00407862</t>
  </si>
  <si>
    <t>Morales, Christine</t>
  </si>
  <si>
    <t>DMN005</t>
  </si>
  <si>
    <t>Dir, Accounting Services</t>
  </si>
  <si>
    <t>@00567102</t>
  </si>
  <si>
    <t>Feichter, Carlene L.</t>
  </si>
  <si>
    <t>K</t>
  </si>
  <si>
    <t>DMN012</t>
  </si>
  <si>
    <t>Vice Chancellor, HR</t>
  </si>
  <si>
    <t>DMN016</t>
  </si>
  <si>
    <t>Dir, Research Analysis &amp; Rptg</t>
  </si>
  <si>
    <t>@00680314</t>
  </si>
  <si>
    <t>Ngo, Quan M.</t>
  </si>
  <si>
    <t>DMN018</t>
  </si>
  <si>
    <t>Payroll Manager</t>
  </si>
  <si>
    <t>@00003678</t>
  </si>
  <si>
    <t>McAbee, Kimberly D.</t>
  </si>
  <si>
    <t>DMN019</t>
  </si>
  <si>
    <t>Assistant Dir, HR</t>
  </si>
  <si>
    <t>@00229958</t>
  </si>
  <si>
    <t>Rhoades, Dena R.</t>
  </si>
  <si>
    <t>DMN020</t>
  </si>
  <si>
    <t>College HR Manager-PC</t>
  </si>
  <si>
    <t>DMN022</t>
  </si>
  <si>
    <t>Building Facility Manager</t>
  </si>
  <si>
    <t>@00241649</t>
  </si>
  <si>
    <t>Birdwell, Don C.</t>
  </si>
  <si>
    <t>DMN023</t>
  </si>
  <si>
    <t>Director, Human Resources</t>
  </si>
  <si>
    <t>Recruiting</t>
  </si>
  <si>
    <t>DMN024</t>
  </si>
  <si>
    <t>College HR Manager-CC</t>
  </si>
  <si>
    <t>@00098174</t>
  </si>
  <si>
    <t>Hess, Resa H.</t>
  </si>
  <si>
    <t>DMN028</t>
  </si>
  <si>
    <t>Accounting Manager - CC</t>
  </si>
  <si>
    <t>@00058074</t>
  </si>
  <si>
    <t>Rock, Rebecca L.</t>
  </si>
  <si>
    <t>DMN029</t>
  </si>
  <si>
    <t>Accounting Manager</t>
  </si>
  <si>
    <t>@00671844</t>
  </si>
  <si>
    <t>Blakemore, Tracy C.</t>
  </si>
  <si>
    <t>DMN030</t>
  </si>
  <si>
    <t>Accounting Manager - PC</t>
  </si>
  <si>
    <t>@00621333</t>
  </si>
  <si>
    <t>Kerwin, Kevin M.</t>
  </si>
  <si>
    <t>DMN034</t>
  </si>
  <si>
    <t>Dir_Grants_Resources Dev</t>
  </si>
  <si>
    <t>@00648365</t>
  </si>
  <si>
    <t>Miller-Galaz, Michelle</t>
  </si>
  <si>
    <t>I</t>
  </si>
  <si>
    <t>DMN038</t>
  </si>
  <si>
    <t>Executive Assistant</t>
  </si>
  <si>
    <t>@00511332</t>
  </si>
  <si>
    <t>Hillard-Adams, Danielle K.</t>
  </si>
  <si>
    <t>F</t>
  </si>
  <si>
    <t>DMN039</t>
  </si>
  <si>
    <t>@00545453</t>
  </si>
  <si>
    <t>Hine, Christopher W.</t>
  </si>
  <si>
    <t>@00658448</t>
  </si>
  <si>
    <t>Mondragon, Hernando</t>
  </si>
  <si>
    <t>DMN053</t>
  </si>
  <si>
    <t>Exec Dir-Risk Assmnt &amp; Mgt</t>
  </si>
  <si>
    <t>@00006644</t>
  </si>
  <si>
    <t>Grubbs, Joseph E.</t>
  </si>
  <si>
    <t>@00627631</t>
  </si>
  <si>
    <t>Alexander, Steven M.</t>
  </si>
  <si>
    <t>160OP0</t>
  </si>
  <si>
    <t>DMN062</t>
  </si>
  <si>
    <t>Director, Programs &amp; Complianc</t>
  </si>
  <si>
    <t>@00006798</t>
  </si>
  <si>
    <t>Steele, Bonita</t>
  </si>
  <si>
    <t>@00265950</t>
  </si>
  <si>
    <t>Barnett, David R.</t>
  </si>
  <si>
    <t>@00630702</t>
  </si>
  <si>
    <t>Moser, Gary</t>
  </si>
  <si>
    <t>@00357519</t>
  </si>
  <si>
    <t>Kegley, Stephen L.</t>
  </si>
  <si>
    <t>@00002837</t>
  </si>
  <si>
    <t>Alvarado, Eddie D.</t>
  </si>
  <si>
    <t>DMN070</t>
  </si>
  <si>
    <t>@00025957</t>
  </si>
  <si>
    <t>Jacob, Cathi S.</t>
  </si>
  <si>
    <t>DMN071</t>
  </si>
  <si>
    <t>Purchasing &amp; Contracts Manager</t>
  </si>
  <si>
    <t>@00511882</t>
  </si>
  <si>
    <t>Ehret-Stevens, Cammie</t>
  </si>
  <si>
    <t>DMR002</t>
  </si>
  <si>
    <t>Classified Hourly</t>
  </si>
  <si>
    <t>@00000301</t>
  </si>
  <si>
    <t>Strough, Terry L.</t>
  </si>
  <si>
    <t>310</t>
  </si>
  <si>
    <t>CK</t>
  </si>
  <si>
    <t>DTC031</t>
  </si>
  <si>
    <t>Accounting Coordinator - TEMP</t>
  </si>
  <si>
    <t>@00030684</t>
  </si>
  <si>
    <t>Batchelder, Ann</t>
  </si>
  <si>
    <t>DTC034</t>
  </si>
  <si>
    <t>Accounting Tech. II-TEMP</t>
  </si>
  <si>
    <t>@00144488</t>
  </si>
  <si>
    <t>Duffel, Debbie L.</t>
  </si>
  <si>
    <t>DMT001</t>
  </si>
  <si>
    <t>Board Member</t>
  </si>
  <si>
    <t>@00077219</t>
  </si>
  <si>
    <t>Agbalog, Romeo V.</t>
  </si>
  <si>
    <t>T0</t>
  </si>
  <si>
    <t>DMT003</t>
  </si>
  <si>
    <t>@00004076</t>
  </si>
  <si>
    <t>Meek, Kay S.</t>
  </si>
  <si>
    <t>DMT004</t>
  </si>
  <si>
    <t>@00343762</t>
  </si>
  <si>
    <t>Corkins, John S.</t>
  </si>
  <si>
    <t>DMT005</t>
  </si>
  <si>
    <t>@00002100</t>
  </si>
  <si>
    <t>Gomez-Heitzberg, Nan</t>
  </si>
  <si>
    <t>DMT006</t>
  </si>
  <si>
    <t>@00568705</t>
  </si>
  <si>
    <t>Storch, Mark G.</t>
  </si>
  <si>
    <t>DMT007</t>
  </si>
  <si>
    <t>@00594135</t>
  </si>
  <si>
    <t>Carter, Kyle</t>
  </si>
  <si>
    <t>DMT008</t>
  </si>
  <si>
    <t>Jimenez, Yovani</t>
  </si>
  <si>
    <t>DSUB19</t>
  </si>
  <si>
    <t>Classified Hourly-Substitute</t>
  </si>
  <si>
    <t>DSUB20</t>
  </si>
  <si>
    <t>Classified Hourly- Substitute</t>
  </si>
  <si>
    <t>DMC116</t>
  </si>
  <si>
    <t>@00355529</t>
  </si>
  <si>
    <t>Cisneros, Rafaela T.</t>
  </si>
  <si>
    <t>MG100</t>
  </si>
  <si>
    <t>18F000</t>
  </si>
  <si>
    <t>18</t>
  </si>
  <si>
    <t>711001</t>
  </si>
  <si>
    <t>DMC118</t>
  </si>
  <si>
    <t>@00486139</t>
  </si>
  <si>
    <t>Crews, Kimberly A.</t>
  </si>
  <si>
    <t>DMN021</t>
  </si>
  <si>
    <t>Construction Project Manager</t>
  </si>
  <si>
    <t>@00410497</t>
  </si>
  <si>
    <t>DeRosa, Joseph J.</t>
  </si>
  <si>
    <t>DMN033</t>
  </si>
  <si>
    <t>@00020504</t>
  </si>
  <si>
    <t>Reed, Daniel W.</t>
  </si>
  <si>
    <t>713000</t>
  </si>
  <si>
    <t>DMN041</t>
  </si>
  <si>
    <t>@00622576</t>
  </si>
  <si>
    <t>Hernandez, Nicholas</t>
  </si>
  <si>
    <t>DMN051</t>
  </si>
  <si>
    <t>Assoc Vice Chan, Const &amp; Facil</t>
  </si>
  <si>
    <t>@00726504</t>
  </si>
  <si>
    <t>Rowles, Randall L.</t>
  </si>
  <si>
    <t>DMN068</t>
  </si>
  <si>
    <t>@00178039</t>
  </si>
  <si>
    <t>Powell, Jamal D.</t>
  </si>
  <si>
    <t>MJ100</t>
  </si>
  <si>
    <t>RP033</t>
  </si>
  <si>
    <t>11BSW1</t>
  </si>
  <si>
    <t>RP035</t>
  </si>
  <si>
    <t>11BSW2</t>
  </si>
  <si>
    <t>DMC171</t>
  </si>
  <si>
    <t>@00740933</t>
  </si>
  <si>
    <t>Levig, Kelly M.</t>
  </si>
  <si>
    <t>RP613</t>
  </si>
  <si>
    <t>512WR4</t>
  </si>
  <si>
    <t>51</t>
  </si>
  <si>
    <t>SWRL17</t>
  </si>
  <si>
    <t>21AWR4</t>
  </si>
  <si>
    <t>21</t>
  </si>
  <si>
    <t>411WR4</t>
  </si>
  <si>
    <t>41</t>
  </si>
  <si>
    <t>411WR3</t>
  </si>
  <si>
    <t>512WR3</t>
  </si>
  <si>
    <t>DMN072</t>
  </si>
  <si>
    <t>Program Manager</t>
  </si>
  <si>
    <t>@00519365</t>
  </si>
  <si>
    <t>Crosshabeyeh, Amani R.</t>
  </si>
  <si>
    <t>D</t>
  </si>
  <si>
    <t>RP634</t>
  </si>
  <si>
    <t>11BAE5</t>
  </si>
  <si>
    <t>AEPLSC</t>
  </si>
  <si>
    <t>AEPLCV</t>
  </si>
  <si>
    <t>AEPLAB</t>
  </si>
  <si>
    <t>DMC173</t>
  </si>
  <si>
    <t>Department Assistant II (COF)</t>
  </si>
  <si>
    <t>CC</t>
  </si>
  <si>
    <t>DMN060</t>
  </si>
  <si>
    <t>Pgm Dir, Adult Education</t>
  </si>
  <si>
    <t>@00691290</t>
  </si>
  <si>
    <t>Weldon, Thatcher G.</t>
  </si>
  <si>
    <t>RP644</t>
  </si>
  <si>
    <t>DMN058</t>
  </si>
  <si>
    <t>Pgm Dir, Work Based Learning</t>
  </si>
  <si>
    <t>RP647</t>
  </si>
  <si>
    <t>11BA02</t>
  </si>
  <si>
    <t>DMC172</t>
  </si>
  <si>
    <t>Data Warehouse Developer COF</t>
  </si>
  <si>
    <t>New Position ??</t>
  </si>
  <si>
    <t>RP661</t>
  </si>
  <si>
    <t>20SIA1</t>
  </si>
  <si>
    <t>20</t>
  </si>
  <si>
    <t>Delete Position</t>
  </si>
  <si>
    <t>DMC129</t>
  </si>
  <si>
    <t>DTC044</t>
  </si>
  <si>
    <t>Administrative Assistant - Tem</t>
  </si>
  <si>
    <t>DTC045</t>
  </si>
  <si>
    <t>DMN036</t>
  </si>
  <si>
    <t>Dir, Bus Entrepreneurship Cnt</t>
  </si>
  <si>
    <t>RP402</t>
  </si>
  <si>
    <t>11BBC6</t>
  </si>
  <si>
    <t>Sum of Health - 331</t>
  </si>
  <si>
    <t>Increase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</si>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</sst>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0%"/>
    <numFmt numFmtId="166" formatCode="0.000%"/>
    <numFmt numFmtId="167" formatCode="_(* #,##0_);_(* \(#,##0\);_(* &quot;-&quot;??_);_(@_)"/>
  </numFmts>
  <fonts count="39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454545"/>
      <name val="Andale WT"/>
      <family val="2"/>
    </font>
    <font>
      <b/>
      <sz val="10"/>
      <color rgb="FF333333"/>
      <name val="Andale WT"/>
    </font>
    <font>
      <sz val="10"/>
      <color theme="1"/>
      <name val="Tahoma"/>
      <family val="2"/>
    </font>
    <font>
      <sz val="8"/>
      <color rgb="FF454545"/>
      <name val="Andale WT"/>
      <family val="2"/>
    </font>
    <font>
      <sz val="10"/>
      <name val="Arial"/>
      <family val="2"/>
    </font>
    <font>
      <sz val="8"/>
      <color rgb="FF333333"/>
      <name val="Andale WT"/>
      <family val="2"/>
    </font>
    <font>
      <b/>
      <sz val="8"/>
      <color rgb="FF31455E"/>
      <name val="Andale WT"/>
      <family val="2"/>
    </font>
    <font>
      <sz val="10"/>
      <name val="Tahoma"/>
      <family val="2"/>
    </font>
    <font>
      <sz val="8"/>
      <color theme="1"/>
      <name val="Andale WT"/>
    </font>
    <font>
      <b/>
      <sz val="10"/>
      <color theme="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Tahoma"/>
      <family val="2"/>
    </font>
    <font>
      <sz val="11"/>
      <color indexed="8"/>
      <name val="Arial"/>
      <family val="2"/>
    </font>
    <font>
      <sz val="16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Tahoma"/>
      <family val="2"/>
    </font>
    <font>
      <b/>
      <sz val="8"/>
      <color rgb="FF31455E"/>
      <name val="Andale WT"/>
    </font>
    <font>
      <sz val="8"/>
      <color rgb="FF333333"/>
      <name val="Andale WT"/>
    </font>
    <font>
      <sz val="8"/>
      <color rgb="FF454545"/>
      <name val="Andale WT"/>
    </font>
    <font>
      <sz val="8"/>
      <name val="Andale WT"/>
    </font>
    <font>
      <b/>
      <sz val="8"/>
      <color rgb="FF333333"/>
      <name val="Andale WT"/>
      <family val="2"/>
    </font>
    <font>
      <b/>
      <sz val="11"/>
      <color rgb="FFFF0000"/>
      <name val="Arial"/>
      <family val="2"/>
    </font>
    <font>
      <sz val="8"/>
      <name val="Tahoma"/>
      <family val="2"/>
    </font>
    <font>
      <sz val="10"/>
      <color theme="1"/>
      <name val="Andale WT"/>
    </font>
    <font>
      <b/>
      <sz val="9"/>
      <color theme="1"/>
      <name val="Andale WT"/>
    </font>
    <font>
      <sz val="10"/>
      <color rgb="FF333333"/>
      <name val="Andale WT"/>
    </font>
    <font>
      <b/>
      <sz val="9"/>
      <name val="Andale WT"/>
    </font>
    <font>
      <sz val="10"/>
      <color rgb="FF454545"/>
      <name val="Andale WT"/>
    </font>
    <font>
      <sz val="10"/>
      <name val="Andale WT"/>
    </font>
    <font>
      <b/>
      <sz val="10"/>
      <color theme="1"/>
      <name val="Andale WT"/>
    </font>
    <font>
      <sz val="9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AF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59EE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1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E2E2E2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 style="medium">
        <color auto="1"/>
      </right>
      <top/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2E2E2"/>
      </left>
      <right/>
      <top/>
      <bottom/>
      <diagonal/>
    </border>
    <border>
      <left style="medium">
        <color rgb="FFEFEFEF"/>
      </left>
      <right style="medium">
        <color rgb="FFEFEFE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/>
      <top style="medium">
        <color rgb="FFE2E2E2"/>
      </top>
      <bottom style="medium">
        <color rgb="FFE2E2E2"/>
      </bottom>
      <diagonal/>
    </border>
    <border>
      <left style="medium">
        <color rgb="FFC0C0C0"/>
      </left>
      <right style="medium">
        <color rgb="FFEFEFEF"/>
      </right>
      <top/>
      <bottom style="thin">
        <color indexed="64"/>
      </bottom>
      <diagonal/>
    </border>
    <border>
      <left style="medium">
        <color rgb="FFE2E2E2"/>
      </left>
      <right style="medium">
        <color rgb="FFE2E2E2"/>
      </right>
      <top/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/>
      <bottom style="thin">
        <color indexed="64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thin">
        <color theme="0" tint="-0.34998626667073579"/>
      </bottom>
      <diagonal/>
    </border>
    <border>
      <left style="medium">
        <color rgb="FFE2E2E2"/>
      </left>
      <right/>
      <top style="medium">
        <color rgb="FFE2E2E2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EFEFEF"/>
      </right>
      <top/>
      <bottom style="thin">
        <color theme="0" tint="-0.34998626667073579"/>
      </bottom>
      <diagonal/>
    </border>
    <border>
      <left style="medium">
        <color rgb="FFE2E2E2"/>
      </left>
      <right style="medium">
        <color rgb="FFE2E2E2"/>
      </right>
      <top/>
      <bottom style="thin">
        <color theme="0" tint="-0.34998626667073579"/>
      </bottom>
      <diagonal/>
    </border>
    <border>
      <left style="medium">
        <color rgb="FFEFEFEF"/>
      </left>
      <right style="medium">
        <color rgb="FFEFEFEF"/>
      </right>
      <top/>
      <bottom style="thin">
        <color theme="0" tint="-0.34998626667073579"/>
      </bottom>
      <diagonal/>
    </border>
    <border>
      <left style="medium">
        <color rgb="FFE2E2E2"/>
      </left>
      <right/>
      <top/>
      <bottom style="medium">
        <color rgb="FFE2E2E2"/>
      </bottom>
      <diagonal/>
    </border>
    <border>
      <left style="medium">
        <color rgb="FFE2E2E2"/>
      </left>
      <right/>
      <top style="medium">
        <color rgb="FFE2E2E2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0">
    <xf numFmtId="0" fontId="0" fillId="0" borderId="0"/>
    <xf numFmtId="44" fontId="3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7">
    <xf numFmtId="0" fontId="0" fillId="0" borderId="0" xfId="0"/>
    <xf numFmtId="0" fontId="0" fillId="0" borderId="0" xfId="0" applyAlignment="1"/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5" borderId="7" xfId="0" applyFont="1" applyFill="1" applyBorder="1" applyAlignment="1">
      <alignment vertical="top"/>
    </xf>
    <xf numFmtId="0" fontId="10" fillId="5" borderId="0" xfId="0" applyFont="1" applyFill="1" applyBorder="1" applyAlignment="1">
      <alignment vertical="top"/>
    </xf>
    <xf numFmtId="0" fontId="9" fillId="2" borderId="5" xfId="0" applyFont="1" applyFill="1" applyBorder="1" applyAlignment="1">
      <alignment vertical="top"/>
    </xf>
    <xf numFmtId="4" fontId="7" fillId="0" borderId="6" xfId="0" applyNumberFormat="1" applyFont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/>
    </xf>
    <xf numFmtId="0" fontId="9" fillId="2" borderId="0" xfId="0" applyFont="1" applyFill="1" applyBorder="1" applyAlignment="1">
      <alignment vertical="top"/>
    </xf>
    <xf numFmtId="43" fontId="12" fillId="0" borderId="0" xfId="3" applyFont="1"/>
    <xf numFmtId="0" fontId="10" fillId="5" borderId="0" xfId="0" applyFont="1" applyFill="1" applyBorder="1" applyAlignment="1">
      <alignment horizontal="center" vertical="top"/>
    </xf>
    <xf numFmtId="0" fontId="13" fillId="0" borderId="0" xfId="0" applyFont="1"/>
    <xf numFmtId="38" fontId="0" fillId="0" borderId="0" xfId="0" applyNumberFormat="1"/>
    <xf numFmtId="0" fontId="14" fillId="0" borderId="0" xfId="0" applyFont="1"/>
    <xf numFmtId="167" fontId="15" fillId="0" borderId="0" xfId="5" applyNumberFormat="1" applyFont="1"/>
    <xf numFmtId="14" fontId="15" fillId="0" borderId="0" xfId="5" applyNumberFormat="1" applyFont="1"/>
    <xf numFmtId="0" fontId="16" fillId="0" borderId="0" xfId="0" applyFont="1" applyBorder="1"/>
    <xf numFmtId="167" fontId="17" fillId="0" borderId="0" xfId="5" applyNumberFormat="1" applyFont="1"/>
    <xf numFmtId="0" fontId="17" fillId="0" borderId="0" xfId="0" applyFont="1"/>
    <xf numFmtId="0" fontId="16" fillId="0" borderId="10" xfId="0" applyFont="1" applyBorder="1" applyAlignment="1">
      <alignment horizontal="center"/>
    </xf>
    <xf numFmtId="167" fontId="15" fillId="0" borderId="10" xfId="5" applyNumberFormat="1" applyFont="1" applyBorder="1" applyAlignment="1">
      <alignment horizontal="center" wrapText="1"/>
    </xf>
    <xf numFmtId="167" fontId="16" fillId="0" borderId="10" xfId="5" applyNumberFormat="1" applyFont="1" applyBorder="1" applyAlignment="1">
      <alignment horizontal="center" wrapText="1"/>
    </xf>
    <xf numFmtId="0" fontId="17" fillId="0" borderId="0" xfId="0" applyFont="1" applyAlignment="1">
      <alignment wrapText="1"/>
    </xf>
    <xf numFmtId="43" fontId="16" fillId="0" borderId="0" xfId="5" applyFont="1" applyFill="1"/>
    <xf numFmtId="167" fontId="17" fillId="0" borderId="0" xfId="5" applyNumberFormat="1" applyFont="1" applyFill="1" applyAlignment="1">
      <alignment horizontal="center"/>
    </xf>
    <xf numFmtId="167" fontId="17" fillId="0" borderId="0" xfId="5" applyNumberFormat="1" applyFont="1" applyFill="1"/>
    <xf numFmtId="43" fontId="17" fillId="0" borderId="0" xfId="5" applyFont="1" applyFill="1"/>
    <xf numFmtId="0" fontId="0" fillId="0" borderId="0" xfId="0" applyFill="1"/>
    <xf numFmtId="0" fontId="16" fillId="0" borderId="0" xfId="0" applyFont="1"/>
    <xf numFmtId="43" fontId="16" fillId="0" borderId="0" xfId="5" applyFont="1"/>
    <xf numFmtId="167" fontId="0" fillId="0" borderId="0" xfId="0" applyNumberFormat="1"/>
    <xf numFmtId="0" fontId="16" fillId="0" borderId="0" xfId="0" applyFont="1" applyAlignment="1">
      <alignment horizontal="center"/>
    </xf>
    <xf numFmtId="167" fontId="16" fillId="0" borderId="11" xfId="5" applyNumberFormat="1" applyFont="1" applyBorder="1" applyAlignment="1">
      <alignment horizontal="center"/>
    </xf>
    <xf numFmtId="43" fontId="16" fillId="0" borderId="0" xfId="0" applyNumberFormat="1" applyFont="1"/>
    <xf numFmtId="167" fontId="16" fillId="0" borderId="0" xfId="0" applyNumberFormat="1" applyFont="1"/>
    <xf numFmtId="43" fontId="16" fillId="0" borderId="10" xfId="5" applyFont="1" applyBorder="1" applyAlignment="1">
      <alignment horizontal="center"/>
    </xf>
    <xf numFmtId="43" fontId="16" fillId="0" borderId="0" xfId="5" applyFont="1" applyBorder="1" applyAlignment="1">
      <alignment horizontal="left"/>
    </xf>
    <xf numFmtId="167" fontId="17" fillId="0" borderId="0" xfId="0" applyNumberFormat="1" applyFont="1"/>
    <xf numFmtId="167" fontId="17" fillId="0" borderId="0" xfId="4" applyNumberFormat="1" applyFont="1" applyAlignment="1">
      <alignment horizontal="center"/>
    </xf>
    <xf numFmtId="43" fontId="16" fillId="0" borderId="0" xfId="5" applyFont="1" applyAlignment="1">
      <alignment horizontal="left"/>
    </xf>
    <xf numFmtId="43" fontId="17" fillId="0" borderId="0" xfId="4" applyNumberFormat="1" applyFont="1" applyAlignment="1">
      <alignment horizontal="center"/>
    </xf>
    <xf numFmtId="43" fontId="16" fillId="0" borderId="0" xfId="5" applyFont="1" applyFill="1" applyAlignment="1">
      <alignment horizontal="left"/>
    </xf>
    <xf numFmtId="167" fontId="17" fillId="0" borderId="0" xfId="4" applyNumberFormat="1" applyFont="1" applyFill="1" applyAlignment="1">
      <alignment horizontal="center"/>
    </xf>
    <xf numFmtId="167" fontId="17" fillId="0" borderId="0" xfId="5" applyNumberFormat="1" applyFont="1" applyFill="1" applyBorder="1" applyAlignment="1">
      <alignment horizontal="center"/>
    </xf>
    <xf numFmtId="167" fontId="0" fillId="0" borderId="0" xfId="0" applyNumberFormat="1" applyFill="1"/>
    <xf numFmtId="43" fontId="16" fillId="0" borderId="0" xfId="5" quotePrefix="1" applyFont="1" applyAlignment="1">
      <alignment horizontal="center"/>
    </xf>
    <xf numFmtId="167" fontId="16" fillId="0" borderId="12" xfId="5" applyNumberFormat="1" applyFont="1" applyBorder="1" applyAlignment="1">
      <alignment horizontal="center"/>
    </xf>
    <xf numFmtId="167" fontId="16" fillId="0" borderId="0" xfId="5" applyNumberFormat="1" applyFont="1" applyAlignment="1">
      <alignment horizontal="center"/>
    </xf>
    <xf numFmtId="167" fontId="13" fillId="0" borderId="0" xfId="3" applyNumberFormat="1" applyFont="1"/>
    <xf numFmtId="167" fontId="17" fillId="0" borderId="0" xfId="5" applyNumberFormat="1" applyFont="1" applyBorder="1" applyAlignment="1">
      <alignment horizontal="center"/>
    </xf>
    <xf numFmtId="43" fontId="17" fillId="0" borderId="0" xfId="5" applyFont="1"/>
    <xf numFmtId="0" fontId="16" fillId="0" borderId="0" xfId="0" applyFont="1" applyAlignment="1">
      <alignment horizontal="left"/>
    </xf>
    <xf numFmtId="167" fontId="17" fillId="0" borderId="0" xfId="5" applyNumberFormat="1" applyFont="1" applyFill="1" applyBorder="1"/>
    <xf numFmtId="0" fontId="17" fillId="0" borderId="0" xfId="0" applyFont="1" applyAlignment="1">
      <alignment horizontal="left"/>
    </xf>
    <xf numFmtId="0" fontId="17" fillId="0" borderId="0" xfId="0" applyFont="1" applyBorder="1"/>
    <xf numFmtId="167" fontId="17" fillId="0" borderId="0" xfId="3" applyNumberFormat="1" applyFont="1"/>
    <xf numFmtId="167" fontId="17" fillId="0" borderId="0" xfId="0" applyNumberFormat="1" applyFont="1" applyFill="1"/>
    <xf numFmtId="0" fontId="15" fillId="0" borderId="0" xfId="0" applyFont="1" applyBorder="1"/>
    <xf numFmtId="0" fontId="18" fillId="0" borderId="0" xfId="0" applyFont="1" applyFill="1" applyBorder="1"/>
    <xf numFmtId="0" fontId="19" fillId="0" borderId="0" xfId="0" applyFont="1" applyFill="1" applyBorder="1" applyAlignment="1">
      <alignment horizontal="left" vertical="top"/>
    </xf>
    <xf numFmtId="167" fontId="16" fillId="0" borderId="10" xfId="5" applyNumberFormat="1" applyFont="1" applyFill="1" applyBorder="1" applyAlignment="1">
      <alignment horizontal="center" wrapText="1"/>
    </xf>
    <xf numFmtId="167" fontId="15" fillId="0" borderId="10" xfId="5" applyNumberFormat="1" applyFont="1" applyFill="1" applyBorder="1" applyAlignment="1">
      <alignment horizontal="center" wrapText="1"/>
    </xf>
    <xf numFmtId="167" fontId="16" fillId="0" borderId="0" xfId="5" applyNumberFormat="1" applyFont="1" applyFill="1" applyBorder="1" applyAlignment="1">
      <alignment horizontal="center"/>
    </xf>
    <xf numFmtId="167" fontId="16" fillId="0" borderId="0" xfId="5" applyNumberFormat="1" applyFont="1" applyBorder="1" applyAlignment="1">
      <alignment horizontal="center"/>
    </xf>
    <xf numFmtId="43" fontId="0" fillId="0" borderId="0" xfId="0" applyNumberFormat="1"/>
    <xf numFmtId="167" fontId="16" fillId="0" borderId="12" xfId="5" applyNumberFormat="1" applyFont="1" applyFill="1" applyBorder="1" applyAlignment="1">
      <alignment horizontal="center"/>
    </xf>
    <xf numFmtId="167" fontId="13" fillId="0" borderId="0" xfId="0" applyNumberFormat="1" applyFont="1"/>
    <xf numFmtId="0" fontId="15" fillId="0" borderId="0" xfId="0" applyFont="1" applyAlignment="1">
      <alignment horizontal="center"/>
    </xf>
    <xf numFmtId="167" fontId="6" fillId="0" borderId="0" xfId="5" applyNumberFormat="1" applyFont="1" applyFill="1"/>
    <xf numFmtId="0" fontId="13" fillId="0" borderId="0" xfId="0" applyFont="1" applyAlignment="1">
      <alignment horizontal="right"/>
    </xf>
    <xf numFmtId="43" fontId="8" fillId="0" borderId="0" xfId="5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43" fontId="16" fillId="0" borderId="0" xfId="5" applyFont="1" applyAlignment="1">
      <alignment horizontal="center"/>
    </xf>
    <xf numFmtId="167" fontId="16" fillId="0" borderId="10" xfId="5" applyNumberFormat="1" applyFont="1" applyBorder="1" applyAlignment="1">
      <alignment horizontal="center"/>
    </xf>
    <xf numFmtId="167" fontId="16" fillId="0" borderId="13" xfId="5" applyNumberFormat="1" applyFont="1" applyBorder="1" applyAlignment="1">
      <alignment horizontal="center"/>
    </xf>
    <xf numFmtId="167" fontId="18" fillId="0" borderId="0" xfId="0" applyNumberFormat="1" applyFont="1"/>
    <xf numFmtId="167" fontId="16" fillId="0" borderId="0" xfId="5" applyNumberFormat="1" applyFont="1"/>
    <xf numFmtId="10" fontId="18" fillId="0" borderId="0" xfId="4" applyNumberFormat="1" applyFont="1" applyFill="1"/>
    <xf numFmtId="0" fontId="18" fillId="0" borderId="0" xfId="0" applyFont="1" applyFill="1"/>
    <xf numFmtId="43" fontId="6" fillId="0" borderId="0" xfId="5" applyFont="1"/>
    <xf numFmtId="167" fontId="6" fillId="0" borderId="0" xfId="5" applyNumberFormat="1" applyFont="1" applyAlignment="1">
      <alignment horizontal="center"/>
    </xf>
    <xf numFmtId="167" fontId="6" fillId="0" borderId="0" xfId="5" applyNumberFormat="1" applyFont="1"/>
    <xf numFmtId="10" fontId="0" fillId="0" borderId="0" xfId="4" applyNumberFormat="1" applyFont="1"/>
    <xf numFmtId="167" fontId="13" fillId="0" borderId="10" xfId="5" applyNumberFormat="1" applyFont="1" applyFill="1" applyBorder="1" applyAlignment="1">
      <alignment horizontal="center"/>
    </xf>
    <xf numFmtId="43" fontId="15" fillId="0" borderId="0" xfId="5" applyFont="1" applyFill="1" applyBorder="1" applyAlignment="1">
      <alignment horizontal="left"/>
    </xf>
    <xf numFmtId="38" fontId="13" fillId="0" borderId="0" xfId="0" applyNumberFormat="1" applyFont="1"/>
    <xf numFmtId="43" fontId="16" fillId="0" borderId="0" xfId="5" applyFont="1" applyFill="1" applyBorder="1" applyAlignment="1">
      <alignment horizontal="left"/>
    </xf>
    <xf numFmtId="43" fontId="0" fillId="0" borderId="0" xfId="3" applyFont="1"/>
    <xf numFmtId="0" fontId="0" fillId="4" borderId="0" xfId="0" applyFill="1"/>
    <xf numFmtId="0" fontId="16" fillId="0" borderId="0" xfId="0" applyFont="1" applyFill="1" applyAlignment="1">
      <alignment horizontal="left"/>
    </xf>
    <xf numFmtId="43" fontId="0" fillId="0" borderId="0" xfId="0" applyNumberFormat="1" applyFill="1"/>
    <xf numFmtId="0" fontId="4" fillId="0" borderId="2" xfId="0" applyFont="1" applyFill="1" applyBorder="1" applyAlignment="1">
      <alignment horizontal="left" vertical="top"/>
    </xf>
    <xf numFmtId="0" fontId="10" fillId="5" borderId="15" xfId="0" applyFont="1" applyFill="1" applyBorder="1" applyAlignment="1">
      <alignment horizontal="left" vertical="top"/>
    </xf>
    <xf numFmtId="0" fontId="10" fillId="5" borderId="0" xfId="0" applyFont="1" applyFill="1" applyAlignment="1">
      <alignment horizontal="left" vertical="top"/>
    </xf>
    <xf numFmtId="0" fontId="9" fillId="2" borderId="16" xfId="0" applyFont="1" applyFill="1" applyBorder="1" applyAlignment="1">
      <alignment horizontal="left" vertical="top"/>
    </xf>
    <xf numFmtId="4" fontId="7" fillId="0" borderId="17" xfId="0" applyNumberFormat="1" applyFont="1" applyBorder="1" applyAlignment="1">
      <alignment horizontal="right" vertical="top"/>
    </xf>
    <xf numFmtId="4" fontId="7" fillId="0" borderId="18" xfId="0" applyNumberFormat="1" applyFont="1" applyBorder="1" applyAlignment="1">
      <alignment horizontal="right" vertical="top"/>
    </xf>
    <xf numFmtId="0" fontId="0" fillId="0" borderId="0" xfId="0" applyProtection="1">
      <protection locked="0"/>
    </xf>
    <xf numFmtId="4" fontId="7" fillId="0" borderId="20" xfId="0" applyNumberFormat="1" applyFont="1" applyBorder="1" applyAlignment="1">
      <alignment horizontal="right" vertical="top"/>
    </xf>
    <xf numFmtId="4" fontId="7" fillId="0" borderId="21" xfId="0" applyNumberFormat="1" applyFont="1" applyBorder="1" applyAlignment="1">
      <alignment horizontal="right" vertical="top"/>
    </xf>
    <xf numFmtId="4" fontId="7" fillId="0" borderId="9" xfId="0" applyNumberFormat="1" applyFont="1" applyBorder="1" applyAlignment="1">
      <alignment horizontal="right" vertical="top"/>
    </xf>
    <xf numFmtId="4" fontId="7" fillId="0" borderId="4" xfId="0" applyNumberFormat="1" applyFont="1" applyBorder="1" applyAlignment="1">
      <alignment horizontal="right" vertical="top"/>
    </xf>
    <xf numFmtId="0" fontId="10" fillId="5" borderId="0" xfId="0" applyFont="1" applyFill="1" applyAlignment="1">
      <alignment horizontal="center" vertical="top"/>
    </xf>
    <xf numFmtId="0" fontId="23" fillId="0" borderId="0" xfId="0" applyFont="1" applyProtection="1">
      <protection locked="0"/>
    </xf>
    <xf numFmtId="0" fontId="23" fillId="4" borderId="0" xfId="0" applyFont="1" applyFill="1" applyProtection="1">
      <protection locked="0"/>
    </xf>
    <xf numFmtId="0" fontId="9" fillId="4" borderId="16" xfId="0" applyFont="1" applyFill="1" applyBorder="1" applyAlignment="1">
      <alignment horizontal="left" vertical="top"/>
    </xf>
    <xf numFmtId="4" fontId="7" fillId="4" borderId="17" xfId="0" applyNumberFormat="1" applyFont="1" applyFill="1" applyBorder="1" applyAlignment="1">
      <alignment horizontal="right" vertical="top"/>
    </xf>
    <xf numFmtId="4" fontId="7" fillId="4" borderId="18" xfId="0" applyNumberFormat="1" applyFont="1" applyFill="1" applyBorder="1" applyAlignment="1">
      <alignment horizontal="right" vertical="top"/>
    </xf>
    <xf numFmtId="4" fontId="7" fillId="0" borderId="25" xfId="0" applyNumberFormat="1" applyFont="1" applyBorder="1" applyAlignment="1">
      <alignment horizontal="right" vertical="top"/>
    </xf>
    <xf numFmtId="4" fontId="7" fillId="0" borderId="26" xfId="0" applyNumberFormat="1" applyFont="1" applyBorder="1" applyAlignment="1">
      <alignment horizontal="right" vertical="top"/>
    </xf>
    <xf numFmtId="0" fontId="10" fillId="4" borderId="15" xfId="0" applyFont="1" applyFill="1" applyBorder="1" applyAlignment="1">
      <alignment horizontal="left" vertical="top"/>
    </xf>
    <xf numFmtId="0" fontId="24" fillId="5" borderId="15" xfId="0" applyFont="1" applyFill="1" applyBorder="1" applyAlignment="1">
      <alignment horizontal="left" vertical="top"/>
    </xf>
    <xf numFmtId="0" fontId="24" fillId="5" borderId="0" xfId="0" applyFont="1" applyFill="1" applyAlignment="1">
      <alignment horizontal="left" vertical="top"/>
    </xf>
    <xf numFmtId="0" fontId="25" fillId="2" borderId="16" xfId="0" applyFont="1" applyFill="1" applyBorder="1" applyAlignment="1">
      <alignment horizontal="left" vertical="top"/>
    </xf>
    <xf numFmtId="4" fontId="26" fillId="0" borderId="17" xfId="0" applyNumberFormat="1" applyFont="1" applyBorder="1" applyAlignment="1">
      <alignment horizontal="right" vertical="top"/>
    </xf>
    <xf numFmtId="4" fontId="26" fillId="0" borderId="18" xfId="0" applyNumberFormat="1" applyFont="1" applyBorder="1" applyAlignment="1">
      <alignment horizontal="right" vertical="top"/>
    </xf>
    <xf numFmtId="43" fontId="26" fillId="0" borderId="17" xfId="3" applyFont="1" applyBorder="1" applyAlignment="1">
      <alignment horizontal="right" vertical="top"/>
    </xf>
    <xf numFmtId="0" fontId="12" fillId="0" borderId="0" xfId="0" applyFont="1"/>
    <xf numFmtId="43" fontId="26" fillId="0" borderId="4" xfId="3" applyFont="1" applyBorder="1" applyAlignment="1">
      <alignment horizontal="right" vertical="top"/>
    </xf>
    <xf numFmtId="4" fontId="26" fillId="0" borderId="4" xfId="0" applyNumberFormat="1" applyFont="1" applyFill="1" applyBorder="1" applyAlignment="1">
      <alignment horizontal="right" vertical="top"/>
    </xf>
    <xf numFmtId="4" fontId="26" fillId="0" borderId="0" xfId="0" applyNumberFormat="1" applyFont="1" applyFill="1" applyBorder="1" applyAlignment="1">
      <alignment horizontal="right" vertical="top"/>
    </xf>
    <xf numFmtId="4" fontId="26" fillId="0" borderId="8" xfId="0" applyNumberFormat="1" applyFont="1" applyFill="1" applyBorder="1" applyAlignment="1">
      <alignment horizontal="right" vertical="top"/>
    </xf>
    <xf numFmtId="4" fontId="27" fillId="0" borderId="4" xfId="0" applyNumberFormat="1" applyFont="1" applyFill="1" applyBorder="1" applyAlignment="1">
      <alignment horizontal="right" vertical="top"/>
    </xf>
    <xf numFmtId="4" fontId="27" fillId="0" borderId="0" xfId="0" applyNumberFormat="1" applyFont="1" applyFill="1" applyBorder="1" applyAlignment="1">
      <alignment horizontal="right" vertical="top"/>
    </xf>
    <xf numFmtId="4" fontId="26" fillId="4" borderId="17" xfId="0" applyNumberFormat="1" applyFont="1" applyFill="1" applyBorder="1" applyAlignment="1">
      <alignment horizontal="right" vertical="top"/>
    </xf>
    <xf numFmtId="4" fontId="26" fillId="0" borderId="27" xfId="0" applyNumberFormat="1" applyFont="1" applyBorder="1" applyAlignment="1">
      <alignment horizontal="right" vertical="top"/>
    </xf>
    <xf numFmtId="0" fontId="12" fillId="4" borderId="4" xfId="0" applyFont="1" applyFill="1" applyBorder="1" applyAlignment="1">
      <alignment wrapText="1"/>
    </xf>
    <xf numFmtId="0" fontId="12" fillId="7" borderId="4" xfId="0" applyFont="1" applyFill="1" applyBorder="1" applyAlignment="1">
      <alignment wrapText="1"/>
    </xf>
    <xf numFmtId="0" fontId="27" fillId="0" borderId="0" xfId="0" applyFont="1"/>
    <xf numFmtId="0" fontId="12" fillId="0" borderId="17" xfId="0" applyFont="1" applyBorder="1"/>
    <xf numFmtId="4" fontId="12" fillId="0" borderId="0" xfId="0" applyNumberFormat="1" applyFont="1"/>
    <xf numFmtId="2" fontId="12" fillId="0" borderId="0" xfId="0" applyNumberFormat="1" applyFont="1"/>
    <xf numFmtId="0" fontId="12" fillId="0" borderId="18" xfId="0" applyFont="1" applyBorder="1"/>
    <xf numFmtId="39" fontId="27" fillId="0" borderId="0" xfId="7" applyNumberFormat="1" applyFont="1"/>
    <xf numFmtId="0" fontId="12" fillId="6" borderId="2" xfId="0" applyFont="1" applyFill="1" applyBorder="1" applyProtection="1">
      <protection locked="0"/>
    </xf>
    <xf numFmtId="0" fontId="12" fillId="10" borderId="19" xfId="0" applyFont="1" applyFill="1" applyBorder="1" applyProtection="1">
      <protection locked="0"/>
    </xf>
    <xf numFmtId="0" fontId="12" fillId="6" borderId="23" xfId="0" applyFont="1" applyFill="1" applyBorder="1" applyProtection="1">
      <protection locked="0"/>
    </xf>
    <xf numFmtId="0" fontId="12" fillId="10" borderId="24" xfId="0" applyFont="1" applyFill="1" applyBorder="1" applyProtection="1">
      <protection locked="0"/>
    </xf>
    <xf numFmtId="43" fontId="12" fillId="6" borderId="2" xfId="0" applyNumberFormat="1" applyFont="1" applyFill="1" applyBorder="1" applyProtection="1">
      <protection locked="0"/>
    </xf>
    <xf numFmtId="43" fontId="12" fillId="10" borderId="19" xfId="0" applyNumberFormat="1" applyFont="1" applyFill="1" applyBorder="1" applyProtection="1">
      <protection locked="0"/>
    </xf>
    <xf numFmtId="43" fontId="12" fillId="6" borderId="2" xfId="0" applyNumberFormat="1" applyFont="1" applyFill="1" applyBorder="1" applyAlignment="1" applyProtection="1">
      <alignment vertical="top"/>
      <protection locked="0"/>
    </xf>
    <xf numFmtId="43" fontId="12" fillId="6" borderId="23" xfId="0" applyNumberFormat="1" applyFont="1" applyFill="1" applyBorder="1" applyProtection="1">
      <protection locked="0"/>
    </xf>
    <xf numFmtId="43" fontId="12" fillId="10" borderId="24" xfId="0" applyNumberFormat="1" applyFont="1" applyFill="1" applyBorder="1" applyProtection="1">
      <protection locked="0"/>
    </xf>
    <xf numFmtId="43" fontId="12" fillId="6" borderId="18" xfId="3" applyFont="1" applyFill="1" applyBorder="1" applyProtection="1">
      <protection locked="0"/>
    </xf>
    <xf numFmtId="43" fontId="12" fillId="10" borderId="28" xfId="3" applyFont="1" applyFill="1" applyBorder="1" applyProtection="1">
      <protection locked="0"/>
    </xf>
    <xf numFmtId="43" fontId="12" fillId="6" borderId="2" xfId="3" applyFont="1" applyFill="1" applyBorder="1" applyProtection="1">
      <protection locked="0"/>
    </xf>
    <xf numFmtId="43" fontId="12" fillId="10" borderId="19" xfId="3" applyFont="1" applyFill="1" applyBorder="1" applyProtection="1">
      <protection locked="0"/>
    </xf>
    <xf numFmtId="43" fontId="12" fillId="10" borderId="29" xfId="3" applyFont="1" applyFill="1" applyBorder="1" applyProtection="1">
      <protection locked="0"/>
    </xf>
    <xf numFmtId="43" fontId="12" fillId="6" borderId="30" xfId="3" applyFont="1" applyFill="1" applyBorder="1" applyProtection="1">
      <protection locked="0"/>
    </xf>
    <xf numFmtId="43" fontId="12" fillId="10" borderId="31" xfId="3" applyFont="1" applyFill="1" applyBorder="1" applyProtection="1">
      <protection locked="0"/>
    </xf>
    <xf numFmtId="4" fontId="12" fillId="0" borderId="6" xfId="0" applyNumberFormat="1" applyFont="1" applyFill="1" applyBorder="1"/>
    <xf numFmtId="0" fontId="28" fillId="2" borderId="5" xfId="0" applyFont="1" applyFill="1" applyBorder="1" applyAlignment="1">
      <alignment vertical="top"/>
    </xf>
    <xf numFmtId="0" fontId="28" fillId="2" borderId="5" xfId="0" applyFont="1" applyFill="1" applyBorder="1" applyAlignment="1">
      <alignment horizontal="center" vertical="top"/>
    </xf>
    <xf numFmtId="0" fontId="23" fillId="7" borderId="6" xfId="0" applyFont="1" applyFill="1" applyBorder="1" applyAlignment="1">
      <alignment wrapText="1"/>
    </xf>
    <xf numFmtId="0" fontId="23" fillId="7" borderId="2" xfId="0" applyFont="1" applyFill="1" applyBorder="1" applyAlignment="1">
      <alignment wrapText="1"/>
    </xf>
    <xf numFmtId="0" fontId="23" fillId="2" borderId="5" xfId="0" applyFont="1" applyFill="1" applyBorder="1"/>
    <xf numFmtId="0" fontId="23" fillId="0" borderId="6" xfId="0" applyFont="1" applyBorder="1"/>
    <xf numFmtId="0" fontId="23" fillId="0" borderId="2" xfId="0" applyFont="1" applyBorder="1"/>
    <xf numFmtId="0" fontId="23" fillId="2" borderId="0" xfId="0" applyFont="1" applyFill="1" applyBorder="1"/>
    <xf numFmtId="0" fontId="23" fillId="2" borderId="16" xfId="0" applyFont="1" applyFill="1" applyBorder="1"/>
    <xf numFmtId="0" fontId="23" fillId="0" borderId="17" xfId="0" applyFont="1" applyBorder="1"/>
    <xf numFmtId="0" fontId="23" fillId="0" borderId="18" xfId="0" applyFont="1" applyBorder="1"/>
    <xf numFmtId="0" fontId="23" fillId="4" borderId="16" xfId="0" applyFont="1" applyFill="1" applyBorder="1"/>
    <xf numFmtId="0" fontId="23" fillId="0" borderId="22" xfId="0" applyFont="1" applyBorder="1"/>
    <xf numFmtId="0" fontId="23" fillId="0" borderId="21" xfId="0" applyFont="1" applyBorder="1"/>
    <xf numFmtId="0" fontId="23" fillId="4" borderId="17" xfId="0" applyFont="1" applyFill="1" applyBorder="1"/>
    <xf numFmtId="0" fontId="23" fillId="4" borderId="18" xfId="0" applyFont="1" applyFill="1" applyBorder="1"/>
    <xf numFmtId="0" fontId="23" fillId="0" borderId="27" xfId="0" applyFont="1" applyBorder="1"/>
    <xf numFmtId="0" fontId="23" fillId="0" borderId="26" xfId="0" applyFont="1" applyBorder="1"/>
    <xf numFmtId="0" fontId="23" fillId="0" borderId="9" xfId="0" applyFont="1" applyBorder="1"/>
    <xf numFmtId="0" fontId="23" fillId="0" borderId="4" xfId="0" applyFont="1" applyBorder="1"/>
    <xf numFmtId="0" fontId="23" fillId="0" borderId="0" xfId="0" applyFont="1"/>
    <xf numFmtId="0" fontId="23" fillId="0" borderId="0" xfId="0" applyFont="1" applyAlignment="1">
      <alignment horizontal="center"/>
    </xf>
    <xf numFmtId="4" fontId="23" fillId="0" borderId="6" xfId="0" applyNumberFormat="1" applyFont="1" applyFill="1" applyBorder="1"/>
    <xf numFmtId="0" fontId="8" fillId="0" borderId="0" xfId="0" applyFont="1" applyFill="1" applyAlignment="1">
      <alignment horizontal="left" indent="11"/>
    </xf>
    <xf numFmtId="43" fontId="26" fillId="0" borderId="4" xfId="3" applyFont="1" applyFill="1" applyBorder="1" applyAlignment="1">
      <alignment horizontal="right" vertical="top"/>
    </xf>
    <xf numFmtId="43" fontId="26" fillId="0" borderId="8" xfId="3" applyFont="1" applyFill="1" applyBorder="1" applyAlignment="1">
      <alignment horizontal="right" vertical="top"/>
    </xf>
    <xf numFmtId="43" fontId="12" fillId="0" borderId="17" xfId="3" applyFont="1" applyBorder="1"/>
    <xf numFmtId="0" fontId="5" fillId="14" borderId="1" xfId="0" applyFont="1" applyFill="1" applyBorder="1" applyAlignment="1">
      <alignment horizontal="center" vertical="top" wrapText="1"/>
    </xf>
    <xf numFmtId="0" fontId="31" fillId="8" borderId="0" xfId="0" applyFont="1" applyFill="1"/>
    <xf numFmtId="0" fontId="31" fillId="0" borderId="0" xfId="0" applyFont="1"/>
    <xf numFmtId="0" fontId="31" fillId="0" borderId="0" xfId="0" applyFont="1" applyFill="1"/>
    <xf numFmtId="43" fontId="31" fillId="0" borderId="0" xfId="3" applyFont="1"/>
    <xf numFmtId="0" fontId="31" fillId="15" borderId="0" xfId="0" applyFont="1" applyFill="1"/>
    <xf numFmtId="0" fontId="31" fillId="9" borderId="0" xfId="0" applyFont="1" applyFill="1"/>
    <xf numFmtId="44" fontId="32" fillId="0" borderId="0" xfId="0" applyNumberFormat="1" applyFont="1"/>
    <xf numFmtId="0" fontId="33" fillId="0" borderId="1" xfId="0" applyFont="1" applyFill="1" applyBorder="1" applyAlignment="1">
      <alignment horizontal="center" vertical="top"/>
    </xf>
    <xf numFmtId="0" fontId="31" fillId="0" borderId="0" xfId="0" applyFont="1" applyAlignment="1"/>
    <xf numFmtId="0" fontId="31" fillId="0" borderId="3" xfId="0" applyFont="1" applyBorder="1"/>
    <xf numFmtId="44" fontId="34" fillId="3" borderId="0" xfId="1" applyFont="1" applyFill="1" applyBorder="1" applyAlignment="1">
      <alignment horizontal="center" vertical="top" wrapText="1"/>
    </xf>
    <xf numFmtId="44" fontId="34" fillId="3" borderId="3" xfId="1" applyFont="1" applyFill="1" applyBorder="1" applyAlignment="1">
      <alignment horizontal="center" vertical="top" wrapText="1"/>
    </xf>
    <xf numFmtId="10" fontId="34" fillId="3" borderId="0" xfId="0" applyNumberFormat="1" applyFont="1" applyFill="1" applyBorder="1" applyAlignment="1">
      <alignment horizontal="center" vertical="top" wrapText="1"/>
    </xf>
    <xf numFmtId="165" fontId="34" fillId="3" borderId="0" xfId="0" applyNumberFormat="1" applyFont="1" applyFill="1" applyBorder="1" applyAlignment="1">
      <alignment horizontal="center" vertical="top" wrapText="1"/>
    </xf>
    <xf numFmtId="166" fontId="34" fillId="3" borderId="3" xfId="0" applyNumberFormat="1" applyFont="1" applyFill="1" applyBorder="1" applyAlignment="1">
      <alignment horizontal="center" vertical="top" wrapText="1"/>
    </xf>
    <xf numFmtId="164" fontId="35" fillId="0" borderId="2" xfId="0" applyNumberFormat="1" applyFont="1" applyFill="1" applyBorder="1" applyAlignment="1">
      <alignment horizontal="right" vertical="top"/>
    </xf>
    <xf numFmtId="0" fontId="35" fillId="0" borderId="2" xfId="0" applyFont="1" applyFill="1" applyBorder="1" applyAlignment="1">
      <alignment horizontal="right" vertical="top"/>
    </xf>
    <xf numFmtId="0" fontId="35" fillId="0" borderId="2" xfId="0" applyFont="1" applyBorder="1" applyAlignment="1">
      <alignment horizontal="right" vertical="top"/>
    </xf>
    <xf numFmtId="164" fontId="35" fillId="0" borderId="2" xfId="0" applyNumberFormat="1" applyFont="1" applyBorder="1" applyAlignment="1">
      <alignment horizontal="right" vertical="top"/>
    </xf>
    <xf numFmtId="0" fontId="31" fillId="0" borderId="2" xfId="0" applyFont="1" applyBorder="1"/>
    <xf numFmtId="44" fontId="31" fillId="0" borderId="0" xfId="0" applyNumberFormat="1" applyFont="1"/>
    <xf numFmtId="40" fontId="31" fillId="0" borderId="0" xfId="0" applyNumberFormat="1" applyFont="1"/>
    <xf numFmtId="40" fontId="31" fillId="0" borderId="0" xfId="1" applyNumberFormat="1" applyFont="1" applyFill="1"/>
    <xf numFmtId="0" fontId="31" fillId="0" borderId="2" xfId="0" applyFont="1" applyFill="1" applyBorder="1"/>
    <xf numFmtId="44" fontId="31" fillId="0" borderId="0" xfId="0" applyNumberFormat="1" applyFont="1" applyFill="1"/>
    <xf numFmtId="40" fontId="31" fillId="0" borderId="0" xfId="0" applyNumberFormat="1" applyFont="1" applyFill="1"/>
    <xf numFmtId="0" fontId="36" fillId="0" borderId="0" xfId="0" applyFont="1" applyFill="1"/>
    <xf numFmtId="0" fontId="36" fillId="0" borderId="2" xfId="0" applyFont="1" applyBorder="1" applyAlignment="1">
      <alignment horizontal="right" vertical="top"/>
    </xf>
    <xf numFmtId="164" fontId="36" fillId="0" borderId="2" xfId="0" applyNumberFormat="1" applyFont="1" applyBorder="1" applyAlignment="1">
      <alignment horizontal="right" vertical="top"/>
    </xf>
    <xf numFmtId="164" fontId="36" fillId="0" borderId="2" xfId="0" applyNumberFormat="1" applyFont="1" applyFill="1" applyBorder="1" applyAlignment="1">
      <alignment horizontal="right" vertical="top"/>
    </xf>
    <xf numFmtId="0" fontId="36" fillId="0" borderId="2" xfId="0" applyFont="1" applyFill="1" applyBorder="1" applyAlignment="1">
      <alignment horizontal="right" vertical="top"/>
    </xf>
    <xf numFmtId="0" fontId="36" fillId="0" borderId="2" xfId="0" applyFont="1" applyBorder="1"/>
    <xf numFmtId="44" fontId="36" fillId="0" borderId="0" xfId="0" applyNumberFormat="1" applyFont="1"/>
    <xf numFmtId="40" fontId="36" fillId="0" borderId="0" xfId="0" applyNumberFormat="1" applyFont="1"/>
    <xf numFmtId="40" fontId="36" fillId="0" borderId="0" xfId="1" applyNumberFormat="1" applyFont="1" applyFill="1"/>
    <xf numFmtId="43" fontId="31" fillId="0" borderId="0" xfId="3" applyFont="1" applyFill="1"/>
    <xf numFmtId="0" fontId="35" fillId="11" borderId="2" xfId="0" applyFont="1" applyFill="1" applyBorder="1" applyAlignment="1">
      <alignment horizontal="right" vertical="top"/>
    </xf>
    <xf numFmtId="0" fontId="31" fillId="11" borderId="2" xfId="0" applyFont="1" applyFill="1" applyBorder="1"/>
    <xf numFmtId="164" fontId="35" fillId="11" borderId="2" xfId="0" applyNumberFormat="1" applyFont="1" applyFill="1" applyBorder="1" applyAlignment="1">
      <alignment horizontal="right" vertical="top"/>
    </xf>
    <xf numFmtId="44" fontId="31" fillId="11" borderId="0" xfId="0" applyNumberFormat="1" applyFont="1" applyFill="1"/>
    <xf numFmtId="40" fontId="31" fillId="11" borderId="0" xfId="0" applyNumberFormat="1" applyFont="1" applyFill="1"/>
    <xf numFmtId="40" fontId="31" fillId="11" borderId="0" xfId="1" applyNumberFormat="1" applyFont="1" applyFill="1"/>
    <xf numFmtId="0" fontId="35" fillId="15" borderId="2" xfId="0" applyFont="1" applyFill="1" applyBorder="1" applyAlignment="1">
      <alignment horizontal="right" vertical="top"/>
    </xf>
    <xf numFmtId="164" fontId="35" fillId="15" borderId="2" xfId="0" applyNumberFormat="1" applyFont="1" applyFill="1" applyBorder="1" applyAlignment="1">
      <alignment horizontal="right" vertical="top"/>
    </xf>
    <xf numFmtId="0" fontId="31" fillId="15" borderId="2" xfId="0" applyFont="1" applyFill="1" applyBorder="1"/>
    <xf numFmtId="44" fontId="31" fillId="15" borderId="0" xfId="0" applyNumberFormat="1" applyFont="1" applyFill="1"/>
    <xf numFmtId="40" fontId="31" fillId="15" borderId="0" xfId="0" applyNumberFormat="1" applyFont="1" applyFill="1"/>
    <xf numFmtId="40" fontId="31" fillId="15" borderId="0" xfId="1" applyNumberFormat="1" applyFont="1" applyFill="1"/>
    <xf numFmtId="0" fontId="31" fillId="0" borderId="2" xfId="0" applyFont="1" applyFill="1" applyBorder="1" applyAlignment="1">
      <alignment horizontal="right"/>
    </xf>
    <xf numFmtId="0" fontId="36" fillId="11" borderId="2" xfId="0" applyFont="1" applyFill="1" applyBorder="1" applyAlignment="1">
      <alignment horizontal="right" vertical="top"/>
    </xf>
    <xf numFmtId="0" fontId="36" fillId="9" borderId="2" xfId="0" applyFont="1" applyFill="1" applyBorder="1" applyAlignment="1">
      <alignment horizontal="right" vertical="top"/>
    </xf>
    <xf numFmtId="0" fontId="35" fillId="9" borderId="2" xfId="0" applyFont="1" applyFill="1" applyBorder="1" applyAlignment="1">
      <alignment horizontal="right" vertical="top"/>
    </xf>
    <xf numFmtId="0" fontId="31" fillId="9" borderId="2" xfId="0" applyFont="1" applyFill="1" applyBorder="1"/>
    <xf numFmtId="164" fontId="35" fillId="9" borderId="2" xfId="0" applyNumberFormat="1" applyFont="1" applyFill="1" applyBorder="1" applyAlignment="1">
      <alignment horizontal="right" vertical="top"/>
    </xf>
    <xf numFmtId="44" fontId="31" fillId="9" borderId="0" xfId="0" applyNumberFormat="1" applyFont="1" applyFill="1"/>
    <xf numFmtId="40" fontId="31" fillId="9" borderId="0" xfId="0" applyNumberFormat="1" applyFont="1" applyFill="1"/>
    <xf numFmtId="40" fontId="31" fillId="9" borderId="0" xfId="1" applyNumberFormat="1" applyFont="1" applyFill="1"/>
    <xf numFmtId="0" fontId="35" fillId="11" borderId="2" xfId="0" applyFont="1" applyFill="1" applyBorder="1" applyAlignment="1">
      <alignment horizontal="left"/>
    </xf>
    <xf numFmtId="0" fontId="31" fillId="0" borderId="2" xfId="0" quotePrefix="1" applyFont="1" applyBorder="1"/>
    <xf numFmtId="0" fontId="31" fillId="0" borderId="2" xfId="0" applyFont="1" applyBorder="1" applyAlignment="1">
      <alignment horizontal="right"/>
    </xf>
    <xf numFmtId="0" fontId="35" fillId="11" borderId="2" xfId="0" applyFont="1" applyFill="1" applyBorder="1" applyAlignment="1">
      <alignment horizontal="left" vertical="top"/>
    </xf>
    <xf numFmtId="164" fontId="36" fillId="9" borderId="2" xfId="0" applyNumberFormat="1" applyFont="1" applyFill="1" applyBorder="1" applyAlignment="1">
      <alignment horizontal="right" vertical="top"/>
    </xf>
    <xf numFmtId="0" fontId="36" fillId="9" borderId="2" xfId="0" applyFont="1" applyFill="1" applyBorder="1"/>
    <xf numFmtId="44" fontId="36" fillId="9" borderId="0" xfId="0" applyNumberFormat="1" applyFont="1" applyFill="1"/>
    <xf numFmtId="40" fontId="36" fillId="9" borderId="0" xfId="0" applyNumberFormat="1" applyFont="1" applyFill="1"/>
    <xf numFmtId="40" fontId="36" fillId="9" borderId="0" xfId="1" applyNumberFormat="1" applyFont="1" applyFill="1"/>
    <xf numFmtId="0" fontId="35" fillId="0" borderId="2" xfId="0" quotePrefix="1" applyFont="1" applyFill="1" applyBorder="1" applyAlignment="1">
      <alignment horizontal="right" vertical="top"/>
    </xf>
    <xf numFmtId="0" fontId="35" fillId="10" borderId="2" xfId="0" applyFont="1" applyFill="1" applyBorder="1" applyAlignment="1">
      <alignment horizontal="right" vertical="top"/>
    </xf>
    <xf numFmtId="164" fontId="35" fillId="10" borderId="2" xfId="0" applyNumberFormat="1" applyFont="1" applyFill="1" applyBorder="1" applyAlignment="1">
      <alignment horizontal="right" vertical="top"/>
    </xf>
    <xf numFmtId="0" fontId="31" fillId="10" borderId="2" xfId="0" applyFont="1" applyFill="1" applyBorder="1"/>
    <xf numFmtId="44" fontId="31" fillId="10" borderId="0" xfId="0" applyNumberFormat="1" applyFont="1" applyFill="1"/>
    <xf numFmtId="40" fontId="31" fillId="10" borderId="0" xfId="0" applyNumberFormat="1" applyFont="1" applyFill="1"/>
    <xf numFmtId="40" fontId="31" fillId="10" borderId="0" xfId="1" applyNumberFormat="1" applyFont="1" applyFill="1"/>
    <xf numFmtId="0" fontId="31" fillId="0" borderId="2" xfId="0" quotePrefix="1" applyFont="1" applyBorder="1" applyAlignment="1">
      <alignment horizontal="right"/>
    </xf>
    <xf numFmtId="0" fontId="35" fillId="13" borderId="2" xfId="0" applyFont="1" applyFill="1" applyBorder="1" applyAlignment="1">
      <alignment horizontal="right" vertical="top"/>
    </xf>
    <xf numFmtId="0" fontId="35" fillId="12" borderId="2" xfId="0" applyFont="1" applyFill="1" applyBorder="1" applyAlignment="1">
      <alignment horizontal="right" vertical="top"/>
    </xf>
    <xf numFmtId="164" fontId="35" fillId="12" borderId="2" xfId="0" applyNumberFormat="1" applyFont="1" applyFill="1" applyBorder="1" applyAlignment="1">
      <alignment horizontal="right" vertical="top"/>
    </xf>
    <xf numFmtId="0" fontId="31" fillId="12" borderId="2" xfId="0" applyFont="1" applyFill="1" applyBorder="1"/>
    <xf numFmtId="44" fontId="31" fillId="12" borderId="0" xfId="0" applyNumberFormat="1" applyFont="1" applyFill="1"/>
    <xf numFmtId="40" fontId="31" fillId="12" borderId="0" xfId="0" applyNumberFormat="1" applyFont="1" applyFill="1"/>
    <xf numFmtId="40" fontId="31" fillId="12" borderId="0" xfId="1" applyNumberFormat="1" applyFont="1" applyFill="1"/>
    <xf numFmtId="0" fontId="31" fillId="0" borderId="2" xfId="0" applyFont="1" applyBorder="1" applyAlignment="1">
      <alignment horizontal="center"/>
    </xf>
    <xf numFmtId="44" fontId="35" fillId="0" borderId="2" xfId="1" applyFont="1" applyFill="1" applyBorder="1" applyAlignment="1">
      <alignment horizontal="right" vertical="top"/>
    </xf>
    <xf numFmtId="0" fontId="35" fillId="0" borderId="0" xfId="0" applyFont="1" applyBorder="1" applyAlignment="1">
      <alignment horizontal="right" vertical="top"/>
    </xf>
    <xf numFmtId="0" fontId="35" fillId="0" borderId="4" xfId="0" applyFont="1" applyBorder="1" applyAlignment="1">
      <alignment horizontal="right" vertical="top"/>
    </xf>
    <xf numFmtId="164" fontId="35" fillId="0" borderId="4" xfId="0" applyNumberFormat="1" applyFont="1" applyBorder="1" applyAlignment="1">
      <alignment horizontal="right" vertical="top"/>
    </xf>
    <xf numFmtId="164" fontId="35" fillId="0" borderId="0" xfId="0" applyNumberFormat="1" applyFont="1" applyBorder="1" applyAlignment="1">
      <alignment horizontal="right" vertical="top"/>
    </xf>
    <xf numFmtId="0" fontId="36" fillId="0" borderId="2" xfId="0" applyFont="1" applyFill="1" applyBorder="1"/>
    <xf numFmtId="44" fontId="36" fillId="0" borderId="0" xfId="0" applyNumberFormat="1" applyFont="1" applyFill="1"/>
    <xf numFmtId="40" fontId="36" fillId="0" borderId="0" xfId="0" applyNumberFormat="1" applyFont="1" applyFill="1"/>
    <xf numFmtId="43" fontId="36" fillId="0" borderId="0" xfId="3" applyFont="1" applyFill="1"/>
    <xf numFmtId="0" fontId="35" fillId="3" borderId="2" xfId="0" applyFont="1" applyFill="1" applyBorder="1" applyAlignment="1">
      <alignment horizontal="right" vertical="top"/>
    </xf>
    <xf numFmtId="0" fontId="31" fillId="3" borderId="2" xfId="0" applyFont="1" applyFill="1" applyBorder="1" applyAlignment="1">
      <alignment horizontal="center"/>
    </xf>
    <xf numFmtId="0" fontId="31" fillId="3" borderId="2" xfId="0" applyFont="1" applyFill="1" applyBorder="1"/>
    <xf numFmtId="164" fontId="35" fillId="3" borderId="2" xfId="0" applyNumberFormat="1" applyFont="1" applyFill="1" applyBorder="1" applyAlignment="1">
      <alignment horizontal="right" vertical="top"/>
    </xf>
    <xf numFmtId="44" fontId="31" fillId="3" borderId="0" xfId="0" applyNumberFormat="1" applyFont="1" applyFill="1"/>
    <xf numFmtId="40" fontId="31" fillId="3" borderId="0" xfId="0" applyNumberFormat="1" applyFont="1" applyFill="1"/>
    <xf numFmtId="40" fontId="31" fillId="3" borderId="0" xfId="1" applyNumberFormat="1" applyFont="1" applyFill="1"/>
    <xf numFmtId="164" fontId="36" fillId="11" borderId="2" xfId="0" applyNumberFormat="1" applyFont="1" applyFill="1" applyBorder="1" applyAlignment="1">
      <alignment horizontal="right" vertical="top"/>
    </xf>
    <xf numFmtId="0" fontId="36" fillId="11" borderId="2" xfId="0" applyFont="1" applyFill="1" applyBorder="1"/>
    <xf numFmtId="44" fontId="36" fillId="11" borderId="0" xfId="0" applyNumberFormat="1" applyFont="1" applyFill="1"/>
    <xf numFmtId="40" fontId="36" fillId="11" borderId="0" xfId="0" applyNumberFormat="1" applyFont="1" applyFill="1"/>
    <xf numFmtId="40" fontId="36" fillId="11" borderId="0" xfId="1" applyNumberFormat="1" applyFont="1" applyFill="1"/>
    <xf numFmtId="0" fontId="31" fillId="10" borderId="2" xfId="0" applyFont="1" applyFill="1" applyBorder="1" applyAlignment="1">
      <alignment horizontal="right"/>
    </xf>
    <xf numFmtId="0" fontId="37" fillId="0" borderId="2" xfId="0" applyFont="1" applyFill="1" applyBorder="1"/>
    <xf numFmtId="0" fontId="31" fillId="0" borderId="0" xfId="0" applyFont="1" applyAlignment="1">
      <alignment horizontal="right"/>
    </xf>
    <xf numFmtId="0" fontId="33" fillId="0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 wrapText="1"/>
    </xf>
    <xf numFmtId="0" fontId="17" fillId="0" borderId="0" xfId="0" applyFont="1" applyAlignment="1">
      <alignment horizontal="left" indent="11"/>
    </xf>
    <xf numFmtId="164" fontId="35" fillId="0" borderId="2" xfId="2" applyNumberFormat="1" applyFont="1" applyBorder="1" applyAlignment="1">
      <alignment horizontal="right" vertical="top"/>
    </xf>
    <xf numFmtId="0" fontId="35" fillId="0" borderId="2" xfId="2" applyFont="1" applyBorder="1" applyAlignment="1">
      <alignment horizontal="right" vertical="top"/>
    </xf>
    <xf numFmtId="0" fontId="35" fillId="0" borderId="2" xfId="2" applyFont="1" applyFill="1" applyBorder="1" applyAlignment="1">
      <alignment horizontal="right" vertical="top"/>
    </xf>
    <xf numFmtId="164" fontId="36" fillId="0" borderId="0" xfId="0" applyNumberFormat="1" applyFont="1" applyFill="1"/>
    <xf numFmtId="4" fontId="36" fillId="0" borderId="2" xfId="0" applyNumberFormat="1" applyFont="1" applyFill="1" applyBorder="1" applyAlignment="1">
      <alignment horizontal="right" vertical="top"/>
    </xf>
    <xf numFmtId="4" fontId="35" fillId="0" borderId="2" xfId="0" applyNumberFormat="1" applyFont="1" applyFill="1" applyBorder="1" applyAlignment="1">
      <alignment horizontal="right" vertical="top"/>
    </xf>
    <xf numFmtId="4" fontId="36" fillId="0" borderId="2" xfId="0" applyNumberFormat="1" applyFont="1" applyBorder="1" applyAlignment="1">
      <alignment horizontal="right" vertical="top"/>
    </xf>
    <xf numFmtId="4" fontId="35" fillId="0" borderId="2" xfId="0" applyNumberFormat="1" applyFont="1" applyBorder="1" applyAlignment="1">
      <alignment horizontal="right" vertical="top"/>
    </xf>
    <xf numFmtId="4" fontId="35" fillId="11" borderId="2" xfId="0" applyNumberFormat="1" applyFont="1" applyFill="1" applyBorder="1" applyAlignment="1">
      <alignment horizontal="right" vertical="top"/>
    </xf>
    <xf numFmtId="4" fontId="35" fillId="15" borderId="2" xfId="0" applyNumberFormat="1" applyFont="1" applyFill="1" applyBorder="1" applyAlignment="1">
      <alignment horizontal="right" vertical="top"/>
    </xf>
    <xf numFmtId="4" fontId="35" fillId="9" borderId="2" xfId="0" applyNumberFormat="1" applyFont="1" applyFill="1" applyBorder="1" applyAlignment="1">
      <alignment horizontal="right" vertical="top"/>
    </xf>
    <xf numFmtId="4" fontId="36" fillId="9" borderId="2" xfId="0" applyNumberFormat="1" applyFont="1" applyFill="1" applyBorder="1" applyAlignment="1">
      <alignment horizontal="right" vertical="top"/>
    </xf>
    <xf numFmtId="4" fontId="35" fillId="10" borderId="2" xfId="0" applyNumberFormat="1" applyFont="1" applyFill="1" applyBorder="1" applyAlignment="1">
      <alignment horizontal="right" vertical="top"/>
    </xf>
    <xf numFmtId="4" fontId="35" fillId="3" borderId="2" xfId="1" applyNumberFormat="1" applyFont="1" applyFill="1" applyBorder="1" applyAlignment="1">
      <alignment horizontal="right" vertical="top"/>
    </xf>
    <xf numFmtId="4" fontId="35" fillId="3" borderId="2" xfId="0" applyNumberFormat="1" applyFont="1" applyFill="1" applyBorder="1" applyAlignment="1">
      <alignment horizontal="right" vertical="top"/>
    </xf>
    <xf numFmtId="43" fontId="5" fillId="3" borderId="14" xfId="3" applyFont="1" applyFill="1" applyBorder="1" applyAlignment="1">
      <alignment horizontal="center" vertical="top" wrapText="1"/>
    </xf>
    <xf numFmtId="167" fontId="17" fillId="0" borderId="0" xfId="5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4" fontId="0" fillId="0" borderId="0" xfId="0" applyNumberFormat="1"/>
    <xf numFmtId="0" fontId="0" fillId="0" borderId="0" xfId="0" applyNumberFormat="1"/>
    <xf numFmtId="0" fontId="5" fillId="3" borderId="1" xfId="0" applyFont="1" applyFill="1" applyBorder="1" applyAlignment="1">
      <alignment horizontal="center" vertical="top"/>
    </xf>
    <xf numFmtId="0" fontId="31" fillId="10" borderId="2" xfId="0" applyFont="1" applyFill="1" applyBorder="1" applyAlignment="1">
      <alignment horizontal="right" vertical="top"/>
    </xf>
    <xf numFmtId="0" fontId="36" fillId="0" borderId="0" xfId="0" applyFont="1" applyFill="1" applyBorder="1" applyAlignment="1">
      <alignment horizontal="right" vertical="top"/>
    </xf>
    <xf numFmtId="0" fontId="35" fillId="3" borderId="0" xfId="0" applyFont="1" applyFill="1" applyBorder="1" applyAlignment="1">
      <alignment horizontal="right" vertical="top"/>
    </xf>
    <xf numFmtId="0" fontId="36" fillId="0" borderId="4" xfId="0" applyFont="1" applyFill="1" applyBorder="1" applyAlignment="1">
      <alignment horizontal="right" vertical="top"/>
    </xf>
    <xf numFmtId="164" fontId="36" fillId="0" borderId="4" xfId="0" applyNumberFormat="1" applyFont="1" applyFill="1" applyBorder="1" applyAlignment="1">
      <alignment horizontal="right" vertical="top"/>
    </xf>
    <xf numFmtId="0" fontId="36" fillId="0" borderId="0" xfId="0" applyFont="1" applyFill="1" applyBorder="1"/>
    <xf numFmtId="4" fontId="36" fillId="0" borderId="4" xfId="0" applyNumberFormat="1" applyFont="1" applyFill="1" applyBorder="1" applyAlignment="1">
      <alignment horizontal="right" vertical="top"/>
    </xf>
    <xf numFmtId="0" fontId="38" fillId="0" borderId="0" xfId="0" applyFont="1" applyProtection="1">
      <protection locked="0"/>
    </xf>
    <xf numFmtId="0" fontId="13" fillId="16" borderId="32" xfId="0" applyFont="1" applyFill="1" applyBorder="1"/>
    <xf numFmtId="0" fontId="13" fillId="16" borderId="32" xfId="0" applyFont="1" applyFill="1" applyBorder="1" applyAlignment="1">
      <alignment horizontal="center"/>
    </xf>
    <xf numFmtId="10" fontId="0" fillId="0" borderId="0" xfId="0" applyNumberFormat="1"/>
    <xf numFmtId="0" fontId="0" fillId="0" borderId="0" xfId="0" applyAlignment="1">
      <alignment horizontal="left" indent="1"/>
    </xf>
    <xf numFmtId="44" fontId="8" fillId="4" borderId="0" xfId="6" applyFont="1" applyFill="1" applyAlignment="1">
      <alignment horizontal="right" wrapText="1"/>
    </xf>
    <xf numFmtId="44" fontId="0" fillId="4" borderId="12" xfId="0" applyNumberFormat="1" applyFill="1" applyBorder="1"/>
    <xf numFmtId="44" fontId="0" fillId="4" borderId="0" xfId="6" applyFont="1" applyFill="1"/>
    <xf numFmtId="44" fontId="0" fillId="4" borderId="10" xfId="0" applyNumberFormat="1" applyFill="1" applyBorder="1"/>
    <xf numFmtId="167" fontId="13" fillId="4" borderId="10" xfId="5" applyNumberFormat="1" applyFont="1" applyFill="1" applyBorder="1"/>
    <xf numFmtId="167" fontId="13" fillId="4" borderId="10" xfId="5" applyNumberFormat="1" applyFont="1" applyFill="1" applyBorder="1" applyAlignment="1">
      <alignment horizontal="center"/>
    </xf>
    <xf numFmtId="167" fontId="13" fillId="0" borderId="0" xfId="5" applyNumberFormat="1" applyFont="1" applyFill="1" applyBorder="1" applyAlignment="1">
      <alignment horizontal="center"/>
    </xf>
    <xf numFmtId="0" fontId="10" fillId="4" borderId="15" xfId="0" applyFont="1" applyFill="1" applyBorder="1" applyAlignment="1">
      <alignment vertical="top"/>
    </xf>
    <xf numFmtId="0" fontId="10" fillId="4" borderId="0" xfId="0" applyFont="1" applyFill="1" applyBorder="1" applyAlignment="1">
      <alignment horizontal="left" vertical="top"/>
    </xf>
    <xf numFmtId="0" fontId="9" fillId="4" borderId="16" xfId="0" applyFont="1" applyFill="1" applyBorder="1" applyAlignment="1">
      <alignment vertical="top"/>
    </xf>
    <xf numFmtId="43" fontId="12" fillId="4" borderId="0" xfId="3" applyFont="1" applyFill="1"/>
    <xf numFmtId="43" fontId="0" fillId="4" borderId="0" xfId="3" applyFont="1" applyFill="1"/>
    <xf numFmtId="43" fontId="23" fillId="4" borderId="6" xfId="3" applyFont="1" applyFill="1" applyBorder="1" applyAlignment="1">
      <alignment wrapText="1"/>
    </xf>
    <xf numFmtId="43" fontId="7" fillId="4" borderId="6" xfId="3" applyFont="1" applyFill="1" applyBorder="1" applyAlignment="1">
      <alignment horizontal="right" vertical="top"/>
    </xf>
    <xf numFmtId="43" fontId="23" fillId="4" borderId="6" xfId="3" applyFont="1" applyFill="1" applyBorder="1"/>
    <xf numFmtId="43" fontId="23" fillId="4" borderId="17" xfId="3" applyFont="1" applyFill="1" applyBorder="1"/>
    <xf numFmtId="43" fontId="7" fillId="4" borderId="17" xfId="3" applyFont="1" applyFill="1" applyBorder="1" applyAlignment="1">
      <alignment horizontal="right" vertical="top"/>
    </xf>
    <xf numFmtId="43" fontId="26" fillId="4" borderId="17" xfId="3" applyFont="1" applyFill="1" applyBorder="1" applyAlignment="1">
      <alignment horizontal="right" vertical="top"/>
    </xf>
    <xf numFmtId="43" fontId="23" fillId="4" borderId="22" xfId="3" applyFont="1" applyFill="1" applyBorder="1"/>
    <xf numFmtId="43" fontId="7" fillId="4" borderId="9" xfId="3" applyFont="1" applyFill="1" applyBorder="1" applyAlignment="1">
      <alignment horizontal="right" vertical="top"/>
    </xf>
    <xf numFmtId="43" fontId="7" fillId="4" borderId="27" xfId="3" applyFont="1" applyFill="1" applyBorder="1" applyAlignment="1">
      <alignment horizontal="right" vertical="top"/>
    </xf>
    <xf numFmtId="43" fontId="23" fillId="4" borderId="0" xfId="3" applyFont="1" applyFill="1"/>
    <xf numFmtId="43" fontId="23" fillId="0" borderId="2" xfId="0" applyNumberFormat="1" applyFont="1" applyBorder="1"/>
    <xf numFmtId="0" fontId="17" fillId="0" borderId="0" xfId="0" applyFont="1" applyFill="1" applyAlignment="1">
      <alignment horizontal="center"/>
    </xf>
    <xf numFmtId="0" fontId="31" fillId="11" borderId="2" xfId="0" applyFont="1" applyFill="1" applyBorder="1" applyAlignment="1">
      <alignment horizontal="right"/>
    </xf>
    <xf numFmtId="0" fontId="31" fillId="10" borderId="0" xfId="0" applyFont="1" applyFill="1"/>
    <xf numFmtId="0" fontId="36" fillId="10" borderId="2" xfId="0" applyFont="1" applyFill="1" applyBorder="1" applyAlignment="1">
      <alignment horizontal="right" vertical="top"/>
    </xf>
    <xf numFmtId="43" fontId="31" fillId="10" borderId="0" xfId="3" applyFont="1" applyFill="1"/>
    <xf numFmtId="0" fontId="0" fillId="0" borderId="0" xfId="0" applyAlignment="1">
      <alignment horizontal="left" indent="11"/>
    </xf>
    <xf numFmtId="0" fontId="0" fillId="0" borderId="36" xfId="0" applyBorder="1"/>
    <xf numFmtId="0" fontId="0" fillId="0" borderId="0" xfId="0" applyBorder="1"/>
    <xf numFmtId="43" fontId="0" fillId="0" borderId="0" xfId="3" applyFont="1" applyBorder="1"/>
    <xf numFmtId="0" fontId="0" fillId="0" borderId="37" xfId="0" applyBorder="1"/>
    <xf numFmtId="0" fontId="0" fillId="4" borderId="0" xfId="0" applyFill="1" applyBorder="1"/>
    <xf numFmtId="0" fontId="0" fillId="4" borderId="36" xfId="0" applyFill="1" applyBorder="1"/>
    <xf numFmtId="43" fontId="0" fillId="4" borderId="0" xfId="3" applyFont="1" applyFill="1" applyBorder="1"/>
    <xf numFmtId="0" fontId="0" fillId="4" borderId="37" xfId="0" applyFill="1" applyBorder="1"/>
    <xf numFmtId="0" fontId="0" fillId="0" borderId="38" xfId="0" applyBorder="1"/>
    <xf numFmtId="0" fontId="0" fillId="0" borderId="39" xfId="0" applyBorder="1"/>
    <xf numFmtId="43" fontId="0" fillId="4" borderId="39" xfId="3" applyFont="1" applyFill="1" applyBorder="1"/>
    <xf numFmtId="0" fontId="0" fillId="0" borderId="40" xfId="0" applyBorder="1"/>
    <xf numFmtId="0" fontId="0" fillId="0" borderId="36" xfId="0" applyFill="1" applyBorder="1"/>
    <xf numFmtId="0" fontId="0" fillId="0" borderId="0" xfId="0" applyFill="1" applyBorder="1"/>
    <xf numFmtId="43" fontId="0" fillId="0" borderId="0" xfId="3" applyFont="1" applyFill="1" applyBorder="1"/>
    <xf numFmtId="0" fontId="0" fillId="0" borderId="0" xfId="0" applyAlignment="1">
      <alignment horizontal="left" indent="13"/>
    </xf>
    <xf numFmtId="167" fontId="20" fillId="0" borderId="0" xfId="5" applyNumberFormat="1" applyFont="1" applyAlignment="1">
      <alignment horizontal="center"/>
    </xf>
    <xf numFmtId="0" fontId="20" fillId="0" borderId="0" xfId="0" applyFont="1" applyAlignment="1"/>
    <xf numFmtId="0" fontId="23" fillId="0" borderId="0" xfId="0" applyFont="1" applyAlignment="1" applyProtection="1">
      <alignment horizontal="left" wrapText="1"/>
      <protection locked="0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</cellXfs>
  <cellStyles count="10">
    <cellStyle name="Comma" xfId="3" builtinId="3"/>
    <cellStyle name="Comma 2" xfId="5" xr:uid="{00000000-0005-0000-0000-000001000000}"/>
    <cellStyle name="Currency" xfId="1" builtinId="4"/>
    <cellStyle name="Currency 2" xfId="6" xr:uid="{00000000-0005-0000-0000-000003000000}"/>
    <cellStyle name="Currency 2 2" xfId="9" xr:uid="{B9F2106F-3A4A-46D4-82C9-8C5D39DBF03A}"/>
    <cellStyle name="Currency 3" xfId="8" xr:uid="{E28AAA1F-6AF9-4566-99F8-DCABFA1595EE}"/>
    <cellStyle name="Normal" xfId="0" builtinId="0"/>
    <cellStyle name="Normal 2" xfId="2" xr:uid="{00000000-0005-0000-0000-000005000000}"/>
    <cellStyle name="Normal 3" xfId="7" xr:uid="{A82D08AC-6D23-454B-90CF-8DD9ECDB8285}"/>
    <cellStyle name="Percent" xfId="4" builtinId="5"/>
  </cellStyles>
  <dxfs count="2"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B59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s/FY%2019-20/Tentative%20Budget/DO%20Stuff/Compiled%20Documents/2019-20%20DO%20Tentative%20Budget%20V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s/FY%2020-21/Tentative%20Budget/DO%20Stuff/Compiled%20Documents/2020-21%20DO%20Tentative%20Budget%20V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s/FY%2021-22/Tentative%20Budget/Premise/2021-22%20Budget%20Premise%20Tentative_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s/FY%2020-21/Tentative%20Budget/Premise/2020-21%20Budget%20Premise%20Tentative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yover"/>
      <sheetName val="Summary"/>
      <sheetName val="Analysis"/>
      <sheetName val="Non_Labor_Variance"/>
      <sheetName val="WC Rate Change"/>
      <sheetName val="GU001 Labor"/>
      <sheetName val="GU001_STRS_PERS"/>
      <sheetName val="19-20 DO Labor_Tentative"/>
      <sheetName val="Non_Labor_PT"/>
      <sheetName val="DO_Non_Labor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200">
          <cell r="H200">
            <v>17075512</v>
          </cell>
          <cell r="I200">
            <v>16503407.57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on Labor Variance 3"/>
      <sheetName val="Non-Labor Pivot Table"/>
      <sheetName val="DO_Non-Labor Tentative"/>
      <sheetName val="Labor Pivot"/>
      <sheetName val="Position Shifts"/>
      <sheetName val="Steps"/>
      <sheetName val="Sheet1"/>
      <sheetName val="20-21 DO_Labor_Tentative"/>
      <sheetName val="Balancing Difference"/>
      <sheetName val="GU001_STRS_PERS_PT"/>
      <sheetName val="Health Benefit Change"/>
      <sheetName val="Worker Comp Analysis"/>
      <sheetName val="Non_Labor_PT"/>
      <sheetName val="Non_Labor_Variance"/>
      <sheetName val="Non Labor Variance 2"/>
    </sheetNames>
    <sheetDataSet>
      <sheetData sheetId="0">
        <row r="50">
          <cell r="J50">
            <v>-1866047.5</v>
          </cell>
        </row>
        <row r="55">
          <cell r="J55">
            <v>31577541.447494626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se"/>
      <sheetName val="FTEs_Update"/>
      <sheetName val="Banked Load"/>
      <sheetName val="Banked Load DATA"/>
    </sheetNames>
    <sheetDataSet>
      <sheetData sheetId="0">
        <row r="41">
          <cell r="D41">
            <v>-1.4241486068111486E-2</v>
          </cell>
        </row>
        <row r="43">
          <cell r="D43">
            <v>0.11111111111111116</v>
          </cell>
        </row>
        <row r="49">
          <cell r="D49">
            <v>3.7202380952381375E-3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sis"/>
      <sheetName val="FTEs_Update"/>
      <sheetName val="Banked Load"/>
      <sheetName val="Banked Load DATA"/>
    </sheetNames>
    <sheetDataSet>
      <sheetData sheetId="0">
        <row r="48">
          <cell r="B48">
            <v>1388.4199999999998</v>
          </cell>
        </row>
        <row r="51">
          <cell r="B51">
            <v>108.05599442379182</v>
          </cell>
        </row>
      </sheetData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Budgets/FY%2020-21/Tentative%20Budget/DO%20Stuff/Compiled%20Documents/2020-21%20DO%20Tentative%20Budget%20V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litha Williams-Harmon" refreshedDate="44269.848169097226" createdVersion="6" refreshedVersion="6" minRefreshableVersion="3" recordCount="186" xr:uid="{2AA9892F-9823-4921-9E86-8B6CAB8F32F8}">
  <cacheSource type="worksheet">
    <worksheetSource ref="A8:AM194" sheet="20-21 DO_Labor_Tentative" r:id="rId2"/>
  </cacheSource>
  <cacheFields count="39">
    <cacheField name="POSITION2" numFmtId="0">
      <sharedItems containsBlank="1"/>
    </cacheField>
    <cacheField name="POSITION_TITLE" numFmtId="0">
      <sharedItems/>
    </cacheField>
    <cacheField name="ID" numFmtId="0">
      <sharedItems containsBlank="1"/>
    </cacheField>
    <cacheField name="NAME" numFmtId="0">
      <sharedItems containsBlank="1"/>
    </cacheField>
    <cacheField name="Grade" numFmtId="0">
      <sharedItems containsBlank="1" containsMixedTypes="1" containsNumber="1" containsInteger="1" minValue="435" maxValue="515"/>
    </cacheField>
    <cacheField name="Step" numFmtId="0">
      <sharedItems containsString="0" containsBlank="1" containsNumber="1" containsInteger="1" minValue="0" maxValue="15" count="17">
        <n v="5"/>
        <n v="7"/>
        <n v="3"/>
        <n v="11"/>
        <n v="8"/>
        <n v="1"/>
        <m/>
        <n v="4"/>
        <n v="12"/>
        <n v="6"/>
        <n v="10"/>
        <n v="9"/>
        <n v="14"/>
        <n v="2"/>
        <n v="15"/>
        <n v="13"/>
        <n v="0"/>
      </sharedItems>
    </cacheField>
    <cacheField name="E-Class Summary" numFmtId="164">
      <sharedItems count="6">
        <s v="C"/>
        <s v="M"/>
        <s v="N"/>
        <s v="I"/>
        <s v=""/>
        <s v="T"/>
      </sharedItems>
    </cacheField>
    <cacheField name="E-Class" numFmtId="0">
      <sharedItems containsBlank="1" count="12">
        <s v="CA"/>
        <s v="M2"/>
        <s v="M6"/>
        <s v="M1"/>
        <s v="CK"/>
        <s v="CZ"/>
        <s v="CY"/>
        <s v="N1"/>
        <s v="I1"/>
        <s v="CC"/>
        <m/>
        <s v="T0"/>
      </sharedItems>
    </cacheField>
    <cacheField name="POSITION STATUS" numFmtId="0">
      <sharedItems count="1">
        <s v="A"/>
      </sharedItems>
    </cacheField>
    <cacheField name="PBUD FTE" numFmtId="164">
      <sharedItems containsSemiMixedTypes="0" containsString="0" containsNumber="1" minValue="0" maxValue="1" count="3">
        <n v="1"/>
        <n v="0"/>
        <n v="0.47499999999999998"/>
      </sharedItems>
    </cacheField>
    <cacheField name="JOBS Appointment" numFmtId="0">
      <sharedItems containsString="0" containsBlank="1" containsNumber="1" minValue="47.5" maxValue="100" count="3">
        <n v="100"/>
        <m/>
        <n v="47.5"/>
      </sharedItems>
    </cacheField>
    <cacheField name="JOBS FTE" numFmtId="0">
      <sharedItems containsString="0" containsBlank="1" containsNumber="1" minValue="0" maxValue="1" count="6">
        <n v="1"/>
        <m/>
        <n v="0"/>
        <n v="0.16500000000000001"/>
        <n v="0.34"/>
        <n v="0.47499999999999998"/>
      </sharedItems>
    </cacheField>
    <cacheField name="FUND" numFmtId="0">
      <sharedItems count="14">
        <s v="GU001"/>
        <s v="CE005"/>
        <s v="RP644"/>
        <s v="RP647"/>
        <s v="RP634"/>
        <s v="CE035"/>
        <s v="RP402"/>
        <s v="CE015"/>
        <s v="RP033"/>
        <s v="RP035"/>
        <s v="RP613"/>
        <s v="BF100"/>
        <s v="MG100"/>
        <s v="MJ100"/>
      </sharedItems>
    </cacheField>
    <cacheField name="ORG" numFmtId="0">
      <sharedItems/>
    </cacheField>
    <cacheField name="OR" numFmtId="0">
      <sharedItems containsMixedTypes="1" containsNumber="1" containsInteger="1" minValue="10" maxValue="18" count="11">
        <n v="10"/>
        <n v="11"/>
        <n v="12"/>
        <n v="13"/>
        <n v="14"/>
        <n v="15"/>
        <n v="16"/>
        <n v="18"/>
        <s v="D0"/>
        <s v="R0"/>
        <s v="R2"/>
      </sharedItems>
    </cacheField>
    <cacheField name="ACCT" numFmtId="0">
      <sharedItems containsMixedTypes="1" containsNumber="1" containsInteger="1" minValue="1214" maxValue="2191" count="9">
        <s v="2191"/>
        <s v="2110"/>
        <s v="2190"/>
        <s v="1214"/>
        <s v="2399"/>
        <n v="2191"/>
        <n v="2110"/>
        <s v="1251"/>
        <n v="1214"/>
      </sharedItems>
    </cacheField>
    <cacheField name="PROG" numFmtId="0">
      <sharedItems containsMixedTypes="1" containsNumber="1" containsInteger="1" minValue="660010" maxValue="711001" count="20">
        <s v="679000"/>
        <s v="684000"/>
        <s v="672000"/>
        <n v="672000"/>
        <s v="678000"/>
        <s v="673000"/>
        <s v="601000"/>
        <s v="677050"/>
        <s v="660030"/>
        <s v="711001"/>
        <s v="713000"/>
        <s v="677040"/>
        <s v="677010"/>
        <s v="660010"/>
        <s v="653000"/>
        <s v="651000"/>
        <n v="660010"/>
        <n v="711001"/>
        <s v="660020"/>
        <n v="660020"/>
      </sharedItems>
    </cacheField>
    <cacheField name="ACT" numFmtId="0">
      <sharedItems containsBlank="1" count="6">
        <m/>
        <s v="AEPLSC"/>
        <s v="AEPLCV"/>
        <s v="AEPLAB"/>
        <s v="DTL001"/>
        <s v="SWRL17"/>
      </sharedItems>
    </cacheField>
    <cacheField name="LOC" numFmtId="0">
      <sharedItems containsBlank="1" count="2">
        <m/>
        <s v="CI"/>
      </sharedItems>
    </cacheField>
    <cacheField name="PERCENTAGE" numFmtId="164">
      <sharedItems containsSemiMixedTypes="0" containsString="0" containsNumber="1" minValue="0" maxValue="1" count="21">
        <n v="1"/>
        <n v="0.6"/>
        <n v="0.4"/>
        <n v="0.5"/>
        <n v="0"/>
        <n v="0.1666"/>
        <n v="0.16670000000000001"/>
        <n v="0.33329999999999999"/>
        <n v="0.33340000000000003"/>
        <n v="0.05"/>
        <n v="0.3"/>
        <n v="7.4999999999999997E-2"/>
        <n v="0.16500000000000001"/>
        <n v="0.34"/>
        <n v="0.75"/>
        <n v="0.25"/>
        <n v="0.2"/>
        <n v="0.17499999999999999"/>
        <n v="0.8"/>
        <n v="0.9"/>
        <n v="0.1"/>
      </sharedItems>
    </cacheField>
    <cacheField name="Total Salary" numFmtId="0">
      <sharedItems containsString="0" containsBlank="1" containsNumber="1" minValue="0" maxValue="325000"/>
    </cacheField>
    <cacheField name="Salary by FOAPAL" numFmtId="164">
      <sharedItems containsSemiMixedTypes="0" containsString="0" containsNumber="1" minValue="0" maxValue="292500"/>
    </cacheField>
    <cacheField name="Benefits by FOAPAL" numFmtId="44">
      <sharedItems containsSemiMixedTypes="0" containsString="0" containsNumber="1" minValue="0" maxValue="115545.38573977695"/>
    </cacheField>
    <cacheField name="Total Compensation by FOAPAL" numFmtId="164">
      <sharedItems containsSemiMixedTypes="0" containsString="0" containsNumber="1" minValue="0" maxValue="408045.38573977695"/>
    </cacheField>
    <cacheField name="Vision - 490" numFmtId="40">
      <sharedItems containsString="0" containsBlank="1" containsNumber="1" minValue="0" maxValue="223.2" count="21">
        <n v="223.2"/>
        <n v="111.6"/>
        <n v="0"/>
        <n v="133.91999999999999"/>
        <n v="89.28"/>
        <m/>
        <n v="37.185119999999998"/>
        <n v="37.207439999999998"/>
        <n v="74.392559999999989"/>
        <n v="74.414879999999997"/>
        <n v="11.16"/>
        <n v="66.959999999999994"/>
        <n v="16.739999999999998"/>
        <n v="36.828000000000003"/>
        <n v="75.888000000000005"/>
        <n v="167.39999999999998"/>
        <n v="55.8"/>
        <n v="44.64"/>
        <n v="178.56"/>
        <n v="200.88"/>
        <n v="22.32"/>
      </sharedItems>
    </cacheField>
    <cacheField name="Life - 491" numFmtId="40">
      <sharedItems containsString="0" containsBlank="1" containsNumber="1" minValue="0" maxValue="85.8" count="22">
        <n v="85.8"/>
        <n v="42.9"/>
        <n v="0"/>
        <n v="51.48"/>
        <n v="34.32"/>
        <m/>
        <n v="14.294279999999999"/>
        <n v="14.302860000000001"/>
        <n v="28.597139999999996"/>
        <n v="28.605720000000002"/>
        <n v="4.29"/>
        <n v="25.74"/>
        <n v="6.4349999999999996"/>
        <n v="14.157"/>
        <n v="29.172000000000001"/>
        <n v="64.349999999999994"/>
        <n v="21.45"/>
        <n v="17.16"/>
        <n v="15.014999999999999"/>
        <n v="68.64"/>
        <n v="77.22"/>
        <n v="8.58"/>
      </sharedItems>
    </cacheField>
    <cacheField name="Health - 331" numFmtId="40">
      <sharedItems containsString="0" containsBlank="1" containsNumber="1" minValue="0" maxValue="16661.039999999997" count="25">
        <n v="16661.039999999997"/>
        <n v="8330.5199999999986"/>
        <n v="0"/>
        <n v="9996.623999999998"/>
        <n v="6664.4159999999993"/>
        <m/>
        <n v="2775.7292639999996"/>
        <n v="2777.395368"/>
        <n v="5553.1246319999991"/>
        <n v="5554.7907359999999"/>
        <n v="833.05199999999991"/>
        <n v="4998.311999999999"/>
        <n v="1249.5779999999997"/>
        <n v="2749.0715999999998"/>
        <n v="5664.7535999999991"/>
        <n v="12495.779999999999"/>
        <n v="4165.2599999999993"/>
        <n v="5092.8119999999999"/>
        <n v="3395.2080000000005"/>
        <n v="8488.02"/>
        <n v="2915.6819999999993"/>
        <n v="3332.2079999999996"/>
        <n v="13328.831999999999"/>
        <n v="14994.935999999998"/>
        <n v="1666.1039999999998"/>
      </sharedItems>
    </cacheField>
    <cacheField name="Dental - 493" numFmtId="40">
      <sharedItems containsString="0" containsBlank="1" containsNumber="1" minValue="0" maxValue="1296.6719330855017" count="22">
        <n v="1296.6719330855017"/>
        <n v="648.33596654275084"/>
        <n v="0"/>
        <n v="778.00315985130101"/>
        <n v="518.66877323420067"/>
        <m/>
        <n v="216.02554405204458"/>
        <n v="216.15521124535314"/>
        <n v="432.1807552973977"/>
        <n v="432.31042249070629"/>
        <n v="64.833596654275084"/>
        <n v="389.0015799256505"/>
        <n v="97.250394981412626"/>
        <n v="213.95086895910779"/>
        <n v="440.86845724907062"/>
        <n v="972.50394981412626"/>
        <n v="324.16798327137542"/>
        <n v="259.33438661710034"/>
        <n v="226.91758828996277"/>
        <n v="1037.3375464684013"/>
        <n v="1167.0047397769515"/>
        <n v="129.66719330855017"/>
      </sharedItems>
    </cacheField>
    <cacheField name="CELL ALLOW - CEP" numFmtId="40">
      <sharedItems containsString="0" containsBlank="1" containsNumber="1" containsInteger="1" minValue="180" maxValue="420" count="3">
        <m/>
        <n v="420"/>
        <n v="180"/>
      </sharedItems>
    </cacheField>
    <cacheField name="OPEB-ARC - 485" numFmtId="40">
      <sharedItems containsString="0" containsBlank="1" containsNumber="1" minValue="0" maxValue="5733"/>
    </cacheField>
    <cacheField name="Def Ben - 519" numFmtId="40">
      <sharedItems containsString="0" containsBlank="1" containsNumber="1" minValue="594.79916099999991" maxValue="882.98346599999991" count="4">
        <m/>
        <n v="594.79916099999991"/>
        <n v="672.96291900000006"/>
        <n v="882.98346599999991"/>
      </sharedItems>
    </cacheField>
    <cacheField name="Medicar - 906" numFmtId="40">
      <sharedItems containsSemiMixedTypes="0" containsString="0" containsNumber="1" minValue="0" maxValue="4241.25"/>
    </cacheField>
    <cacheField name="W/C - 912" numFmtId="40">
      <sharedItems containsSemiMixedTypes="0" containsString="0" containsNumber="1" minValue="0" maxValue="2883.4650000000001"/>
    </cacheField>
    <cacheField name="403B Acct" numFmtId="40">
      <sharedItems containsString="0" containsBlank="1" containsNumber="1" containsInteger="1" minValue="1950" maxValue="17550" count="3">
        <m/>
        <n v="17550"/>
        <n v="1950"/>
      </sharedItems>
    </cacheField>
    <cacheField name="LTD - 913" numFmtId="40">
      <sharedItems containsString="0" containsBlank="1" containsNumber="1" minValue="0" maxValue="653.40000000000009"/>
    </cacheField>
    <cacheField name="Unempl - 914" numFmtId="40">
      <sharedItems containsSemiMixedTypes="0" containsString="0" containsNumber="1" minValue="0" maxValue="146.25"/>
    </cacheField>
    <cacheField name="STRS - 930" numFmtId="40">
      <sharedItems containsString="0" containsBlank="1" containsNumber="1" minValue="3356.9406150000004" maxValue="31572.127574999999" count="8">
        <m/>
        <n v="31572.127574999999"/>
        <n v="6056.9878934999997"/>
        <n v="4037.9919290000003"/>
        <n v="3356.9406150000004"/>
        <n v="9434.4553200000009"/>
        <n v="3780.5193706087498"/>
        <n v="4037.9919774500004"/>
      </sharedItems>
    </cacheField>
    <cacheField name="OASDI - 994" numFmtId="40">
      <sharedItems containsString="0" containsBlank="1" containsNumber="1" minValue="0" maxValue="8239.7999999999993"/>
    </cacheField>
    <cacheField name="PERS - 999" numFmtId="40">
      <sharedItems containsString="0" containsBlank="1" containsNumber="1" minValue="0" maxValue="60547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litha Williams-Harmon" refreshedDate="44270.763097222225" createdVersion="6" refreshedVersion="6" minRefreshableVersion="3" recordCount="368" xr:uid="{8DC5407C-9717-4547-8116-4EC355E7C4D4}">
  <cacheSource type="worksheet">
    <worksheetSource ref="A4:S372" sheet="DO_Non-Labor Tentative 22"/>
  </cacheSource>
  <cacheFields count="19">
    <cacheField name=" Fund" numFmtId="0">
      <sharedItems/>
    </cacheField>
    <cacheField name="Org Level 3" numFmtId="0">
      <sharedItems containsMixedTypes="1" containsNumber="1" containsInteger="1" minValue="12" maxValue="12" count="8">
        <s v="10"/>
        <s v="11"/>
        <n v="12"/>
        <s v="13"/>
        <s v="14"/>
        <s v="D0"/>
        <s v="R0"/>
        <s v="15"/>
      </sharedItems>
    </cacheField>
    <cacheField name="Dept" numFmtId="0">
      <sharedItems/>
    </cacheField>
    <cacheField name="Org Code " numFmtId="0">
      <sharedItems/>
    </cacheField>
    <cacheField name=" Org Description" numFmtId="0">
      <sharedItems/>
    </cacheField>
    <cacheField name=" Account" numFmtId="0">
      <sharedItems containsMixedTypes="1" containsNumber="1" containsInteger="1" minValue="2999" maxValue="2999" count="88">
        <s v="4211"/>
        <s v="4313"/>
        <s v="5119"/>
        <s v="5220"/>
        <s v="5221"/>
        <s v="5230"/>
        <s v="5300"/>
        <s v="5650"/>
        <s v="6412"/>
        <s v="7201"/>
        <s v="2394"/>
        <s v="4310"/>
        <s v="5209"/>
        <s v="5671"/>
        <s v="5790"/>
        <s v="5860"/>
        <s v="6412FA"/>
        <s v="1419"/>
        <s v="5520"/>
        <s v="5820"/>
        <s v="5150"/>
        <s v="5583"/>
        <s v="6411"/>
        <s v="6414"/>
        <s v="2199"/>
        <s v="2392"/>
        <s v="2399"/>
        <s v="5220DT"/>
        <s v="5683"/>
        <s v="5686"/>
        <s v="5691"/>
        <s v="5731"/>
        <s v="5740"/>
        <s v="5830"/>
        <s v="5831"/>
        <s v="5835"/>
        <s v="5838"/>
        <s v="5840"/>
        <s v="5870"/>
        <s v="5880"/>
        <s v="5890"/>
        <s v="5895"/>
        <s v="6414FA"/>
        <s v="6419"/>
        <s v="6419FA"/>
        <s v="7205"/>
        <s v="7910"/>
        <s v="4315"/>
        <s v="4320"/>
        <s v="5407"/>
        <s v="5684"/>
        <s v="5690"/>
        <s v="2393"/>
        <s v="5911"/>
        <s v="5733"/>
        <s v="5400"/>
        <s v="5406"/>
        <s v="5700"/>
        <s v="7110"/>
        <s v="7111"/>
        <s v="7312"/>
        <s v="5685"/>
        <s v="5869"/>
        <s v="4312"/>
        <s v="5652"/>
        <s v="5603"/>
        <s v="5581"/>
        <s v="6210C"/>
        <s v="6498"/>
        <s v="5310"/>
        <s v="5550"/>
        <s v="5651"/>
        <s v="5810"/>
        <s v="5813"/>
        <s v="5861"/>
        <s v="5560"/>
        <n v="2999"/>
        <s v="4321"/>
        <s v="5530"/>
        <s v="5540"/>
        <s v="5570"/>
        <s v="5590"/>
        <s v="5608"/>
        <s v="5681"/>
        <s v="6120"/>
        <s v="6413FA"/>
        <s v="5118"/>
        <s v="5720"/>
      </sharedItems>
    </cacheField>
    <cacheField name=" Account Description" numFmtId="0">
      <sharedItems/>
    </cacheField>
    <cacheField name=" Program" numFmtId="0">
      <sharedItems containsMixedTypes="1" containsNumber="1" containsInteger="1" minValue="672000" maxValue="672000"/>
    </cacheField>
    <cacheField name=" Activity" numFmtId="0">
      <sharedItems containsBlank="1"/>
    </cacheField>
    <cacheField name=" Location" numFmtId="0">
      <sharedItems containsBlank="1"/>
    </cacheField>
    <cacheField name="2019 Adopted Budget" numFmtId="0">
      <sharedItems containsString="0" containsBlank="1" containsNumber="1" minValue="-27864815.079999998" maxValue="25730328.719999999"/>
    </cacheField>
    <cacheField name="2019 Actual Expenses" numFmtId="0">
      <sharedItems containsString="0" containsBlank="1" containsNumber="1" minValue="-77442.429999999993" maxValue="4676381"/>
    </cacheField>
    <cacheField name="2020 Adopted Budget" numFmtId="0">
      <sharedItems containsBlank="1" containsMixedTypes="1" containsNumber="1" minValue="-29346100" maxValue="20585678.079999998"/>
    </cacheField>
    <cacheField name="2020 Actual Expenses" numFmtId="0">
      <sharedItems containsString="0" containsBlank="1" containsNumber="1" minValue="-2202.04" maxValue="4612975.5"/>
    </cacheField>
    <cacheField name="2021 Adopted Budget" numFmtId="43">
      <sharedItems containsString="0" containsBlank="1" containsNumber="1" minValue="-29711494" maxValue="67857213"/>
    </cacheField>
    <cacheField name="2021 Actual Expenses" numFmtId="0">
      <sharedItems containsString="0" containsBlank="1" containsNumber="1" minValue="-20000" maxValue="2272982"/>
    </cacheField>
    <cacheField name="2022 3% Reduction" numFmtId="0">
      <sharedItems containsString="0" containsBlank="1" containsNumber="1" minValue="-295000" maxValue="4474745.5"/>
    </cacheField>
    <cacheField name="2022 5% Reduction" numFmtId="0">
      <sharedItems containsString="0" containsBlank="1" containsNumber="1" minValue="-295000" maxValue="4474745.5"/>
    </cacheField>
    <cacheField name="Variance Explanations/ 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litha Williams-Harmon" refreshedDate="44271.312493287034" createdVersion="6" refreshedVersion="6" minRefreshableVersion="3" recordCount="178" xr:uid="{F4B822C3-0105-4388-B844-A63244B02A2C}">
  <cacheSource type="worksheet">
    <worksheetSource ref="B5:AN183" sheet="21-22 DO_Labor_Tentative"/>
  </cacheSource>
  <cacheFields count="39">
    <cacheField name="POSITION2" numFmtId="0">
      <sharedItems containsBlank="1"/>
    </cacheField>
    <cacheField name="POSITION_TITLE" numFmtId="0">
      <sharedItems/>
    </cacheField>
    <cacheField name="ID" numFmtId="0">
      <sharedItems containsBlank="1"/>
    </cacheField>
    <cacheField name="NAME" numFmtId="0">
      <sharedItems containsBlank="1"/>
    </cacheField>
    <cacheField name="Grade" numFmtId="0">
      <sharedItems containsBlank="1" containsMixedTypes="1" containsNumber="1" containsInteger="1" minValue="435" maxValue="465"/>
    </cacheField>
    <cacheField name="Step" numFmtId="0">
      <sharedItems containsString="0" containsBlank="1" containsNumber="1" containsInteger="1" minValue="1" maxValue="15"/>
    </cacheField>
    <cacheField name="E-Class Summary" numFmtId="164">
      <sharedItems containsBlank="1"/>
    </cacheField>
    <cacheField name="E-Class" numFmtId="0">
      <sharedItems containsBlank="1"/>
    </cacheField>
    <cacheField name="POSITION STATUS" numFmtId="0">
      <sharedItems/>
    </cacheField>
    <cacheField name="PBUD FTE" numFmtId="164">
      <sharedItems containsSemiMixedTypes="0" containsString="0" containsNumber="1" minValue="0" maxValue="1"/>
    </cacheField>
    <cacheField name="JOBS Appointment" numFmtId="0">
      <sharedItems containsString="0" containsBlank="1" containsNumber="1" containsInteger="1" minValue="100" maxValue="100"/>
    </cacheField>
    <cacheField name="JOBS FTE" numFmtId="0">
      <sharedItems containsString="0" containsBlank="1" containsNumber="1" containsInteger="1" minValue="0" maxValue="1"/>
    </cacheField>
    <cacheField name="FUND" numFmtId="0">
      <sharedItems count="14">
        <s v="BF100"/>
        <s v="CE005"/>
        <s v="CE015"/>
        <s v="CE035"/>
        <s v="GU001"/>
        <s v="MG100"/>
        <s v="MJ100"/>
        <s v="RP033"/>
        <s v="RP035"/>
        <s v="RP613"/>
        <s v="RP634"/>
        <s v="RP644"/>
        <s v="RP647"/>
        <s v="RP661"/>
      </sharedItems>
    </cacheField>
    <cacheField name="ORG" numFmtId="0">
      <sharedItems/>
    </cacheField>
    <cacheField name="OR" numFmtId="0">
      <sharedItems count="15">
        <s v="12"/>
        <s v="11"/>
        <s v="D0"/>
        <s v="14"/>
        <s v="13"/>
        <s v="10"/>
        <s v="15"/>
        <s v="R0"/>
        <s v="R2"/>
        <s v="16"/>
        <s v="18"/>
        <s v="51"/>
        <s v="21"/>
        <s v="41"/>
        <s v="20"/>
      </sharedItems>
    </cacheField>
    <cacheField name="ACCT" numFmtId="0">
      <sharedItems containsMixedTypes="1" containsNumber="1" containsInteger="1" minValue="1214" maxValue="2110"/>
    </cacheField>
    <cacheField name="PROG" numFmtId="0">
      <sharedItems containsMixedTypes="1" containsNumber="1" containsInteger="1" minValue="660010" maxValue="711001"/>
    </cacheField>
    <cacheField name="ACT" numFmtId="0">
      <sharedItems containsBlank="1"/>
    </cacheField>
    <cacheField name="LOC" numFmtId="0">
      <sharedItems containsBlank="1"/>
    </cacheField>
    <cacheField name="PERCENTAGE" numFmtId="164">
      <sharedItems containsSemiMixedTypes="0" containsString="0" containsNumber="1" minValue="0" maxValue="1"/>
    </cacheField>
    <cacheField name="Total Salary" numFmtId="0">
      <sharedItems containsString="0" containsBlank="1" containsNumber="1" minValue="0" maxValue="290000"/>
    </cacheField>
    <cacheField name="Salary by FOAPAL" numFmtId="0">
      <sharedItems containsSemiMixedTypes="0" containsString="0" containsNumber="1" minValue="0" maxValue="261000"/>
    </cacheField>
    <cacheField name="Benefits by FOAPAL" numFmtId="44">
      <sharedItems containsSemiMixedTypes="0" containsString="0" containsNumber="1" minValue="0" maxValue="111311.72273977695"/>
    </cacheField>
    <cacheField name="Total Compensation by FOAPAL" numFmtId="164">
      <sharedItems containsSemiMixedTypes="0" containsString="0" containsNumber="1" minValue="0" maxValue="372311.72273977695"/>
    </cacheField>
    <cacheField name="Vision - 490" numFmtId="40">
      <sharedItems containsString="0" containsBlank="1" containsNumber="1" minValue="0" maxValue="223.2"/>
    </cacheField>
    <cacheField name="Life - 491" numFmtId="40">
      <sharedItems containsString="0" containsBlank="1" containsNumber="1" minValue="0" maxValue="85.8"/>
    </cacheField>
    <cacheField name="Health - 331" numFmtId="40">
      <sharedItems containsString="0" containsBlank="1" containsNumber="1" minValue="0" maxValue="16188"/>
    </cacheField>
    <cacheField name="Dental - 493" numFmtId="40">
      <sharedItems containsString="0" containsBlank="1" containsNumber="1" minValue="0" maxValue="1296.6719330855017"/>
    </cacheField>
    <cacheField name="CELL ALLOW - CEP" numFmtId="40">
      <sharedItems containsString="0" containsBlank="1" containsNumber="1" containsInteger="1" minValue="180" maxValue="420"/>
    </cacheField>
    <cacheField name="OPEB-ARC - 485" numFmtId="40">
      <sharedItems containsString="0" containsBlank="1" containsNumber="1" minValue="0" maxValue="5115.5999999999995"/>
    </cacheField>
    <cacheField name="Def Ben - 519" numFmtId="40">
      <sharedItems containsString="0" containsBlank="1" containsNumber="1" minValue="594.79916099999991" maxValue="672.96291900000006"/>
    </cacheField>
    <cacheField name="Medicar - 906" numFmtId="40">
      <sharedItems containsSemiMixedTypes="0" containsString="0" containsNumber="1" minValue="0" maxValue="3784.5"/>
    </cacheField>
    <cacheField name="W/C - 912" numFmtId="40">
      <sharedItems containsSemiMixedTypes="0" containsString="0" containsNumber="1" minValue="0" maxValue="2572.9380000000001"/>
    </cacheField>
    <cacheField name="403B Acct" numFmtId="40">
      <sharedItems containsString="0" containsBlank="1" containsNumber="1" containsInteger="1" minValue="1740" maxValue="15660"/>
    </cacheField>
    <cacheField name="LTD - 913" numFmtId="40">
      <sharedItems containsString="0" containsBlank="1" containsNumber="1" minValue="0" maxValue="653.40000000000009"/>
    </cacheField>
    <cacheField name="Unempl - 914" numFmtId="40">
      <sharedItems containsSemiMixedTypes="0" containsString="0" containsNumber="1" minValue="0" maxValue="130.5"/>
    </cacheField>
    <cacheField name="STRS - 930" numFmtId="40">
      <sharedItems containsString="0" containsBlank="1" containsNumber="1" minValue="3309.1327920000003" maxValue="31122.493559999999"/>
    </cacheField>
    <cacheField name="OASDI - 994" numFmtId="40">
      <sharedItems containsString="0" containsBlank="1" containsNumber="1" minValue="0" maxValue="8239.7999999999993"/>
    </cacheField>
    <cacheField name="PERS - 999" numFmtId="40">
      <sharedItems containsString="0" containsBlank="1" containsNumber="1" minValue="0" maxValue="600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 Burke" refreshedDate="44271.397101388888" createdVersion="6" refreshedVersion="6" minRefreshableVersion="3" recordCount="187" xr:uid="{C0D377A5-7381-4B19-A918-022637A3048C}">
  <cacheSource type="worksheet">
    <worksheetSource ref="B5:AP192" sheet="21-22 DO_Labor_Tentative"/>
  </cacheSource>
  <cacheFields count="41">
    <cacheField name="POSITION2" numFmtId="0">
      <sharedItems containsBlank="1" count="150">
        <s v="DMC140"/>
        <s v="DMC130"/>
        <s v="DMC166"/>
        <s v="DMN043"/>
        <s v="DMN056"/>
        <s v="DMC149"/>
        <s v="DMC154"/>
        <s v="BMC531"/>
        <s v="DMC148"/>
        <s v="DMN073"/>
        <s v="BEC018"/>
        <s v="BMC503"/>
        <s v="BMC699"/>
        <s v="BMF238"/>
        <s v="BMF515"/>
        <s v="CMF022"/>
        <s v="CMF039"/>
        <s v="DMC001"/>
        <s v="DMC002"/>
        <s v="DMC003"/>
        <s v="DMC009"/>
        <s v="DMC012"/>
        <s v="DMC016"/>
        <s v="DMC018"/>
        <s v="DMC020"/>
        <s v="DMC021"/>
        <s v="DMC023"/>
        <s v="DMC025"/>
        <s v="DMC028"/>
        <s v="DMC030"/>
        <s v="DMC040"/>
        <s v="DMC042"/>
        <s v="DMC049"/>
        <s v="DMC051"/>
        <s v="DMC064"/>
        <s v="DMC083"/>
        <s v="DMC084"/>
        <s v="DMC086"/>
        <s v="DMC087"/>
        <s v="DMC092"/>
        <s v="DMC093"/>
        <s v="DMC094"/>
        <s v="DMC098"/>
        <s v="DMC100"/>
        <s v="DMC105"/>
        <s v="DMC108"/>
        <s v="DMC111"/>
        <s v="DMC117"/>
        <s v="DMC120"/>
        <s v="DMC123"/>
        <s v="DMC124"/>
        <s v="DMC126"/>
        <s v="DMC127"/>
        <s v="DMC131"/>
        <s v="DMC132"/>
        <s v="DMC134"/>
        <s v="DMC135"/>
        <s v="DMC138"/>
        <s v="DMC139"/>
        <s v="DMC141"/>
        <s v="DMC145"/>
        <s v="?"/>
        <s v="DMC147"/>
        <s v="DMC150"/>
        <s v="DMC151"/>
        <s v="DMC157"/>
        <s v="DMC158"/>
        <s v="DMC159"/>
        <s v="DMC160"/>
        <s v="DMC161"/>
        <s v="DMC163"/>
        <s v="DMC164"/>
        <s v="DMC165"/>
        <s v="DMC167"/>
        <s v="DMC168"/>
        <s v="DMC169"/>
        <s v="DMC170"/>
        <s v="DMC174"/>
        <s v="DMC175"/>
        <s v="DML001"/>
        <s v="DML002"/>
        <s v="DML003"/>
        <s v="DML004"/>
        <s v="DML010"/>
        <s v="DML011"/>
        <s v="DML016"/>
        <s v="DMM001"/>
        <s v="DMM004"/>
        <s v="DMM027"/>
        <s v="DMN003"/>
        <s v="DMN004"/>
        <s v="DMN005"/>
        <s v="DMN012"/>
        <s v="DMN016"/>
        <s v="DMN018"/>
        <s v="DMN019"/>
        <s v="DMN020"/>
        <s v="DMN022"/>
        <s v="DMN023"/>
        <s v="DMN024"/>
        <s v="DMN028"/>
        <s v="DMN029"/>
        <s v="DMN030"/>
        <s v="DMN034"/>
        <s v="DMN038"/>
        <s v="DMN039"/>
        <s v="DMN042"/>
        <s v="DMN053"/>
        <s v="DMN054"/>
        <s v="DMN055"/>
        <s v="DMN062"/>
        <s v="DMN063"/>
        <s v="DMN065"/>
        <s v="DMN066"/>
        <s v="DMN067"/>
        <s v="DMN070"/>
        <s v="DMN071"/>
        <s v="New Position"/>
        <s v="DMR002"/>
        <s v="DTC031"/>
        <s v="DTC034"/>
        <s v="DMT001"/>
        <s v="DMT003"/>
        <s v="DMT004"/>
        <s v="DMT005"/>
        <s v="DMT006"/>
        <s v="DMT007"/>
        <s v="DMT008"/>
        <s v="DSUB19"/>
        <s v="DSUB20"/>
        <s v="DMC116"/>
        <s v="DMC118"/>
        <s v="DMN021"/>
        <s v="DMN033"/>
        <s v="DMN041"/>
        <s v="DMN051"/>
        <s v="DMN068"/>
        <s v="DMC171"/>
        <s v="DMN072"/>
        <s v="DMC173"/>
        <s v="DMN060"/>
        <s v="DMN058"/>
        <s v="DMC172"/>
        <m/>
        <s v="DMC128"/>
        <s v="DMC129"/>
        <s v="DTC042"/>
        <s v="DTC044"/>
        <s v="DTC045"/>
        <s v="DMN036"/>
      </sharedItems>
    </cacheField>
    <cacheField name="POSITION_TITLE" numFmtId="0">
      <sharedItems containsBlank="1" count="94">
        <s v="Accounting Technician II"/>
        <s v="Department Assistant II"/>
        <s v="Workforce Prep Assistant"/>
        <s v="Director, Clean Energy Center"/>
        <s v="Training Manager - COF"/>
        <s v="Computer Lab Assistant"/>
        <s v="Educational Trainer"/>
        <s v="Department Assistant III"/>
        <s v="Dir, Economic Dev &amp; Corp Trng"/>
        <s v="Administrative Assistant"/>
        <s v="Public Safety Officer I"/>
        <s v="Public Safety Officer II"/>
        <s v="Instructor, English"/>
        <s v="Instructor, Reading"/>
        <s v="Instructor, English Basic Skls"/>
        <s v="Cloud Infrastructure Engineer"/>
        <s v="Enterprise Res Plan Analyst II"/>
        <s v="Enterprise Res Plan Analyst I"/>
        <s v="Benefits Specialist"/>
        <s v="Accounting Coordinator"/>
        <s v="WAN Engineer"/>
        <s v="Security Specialist"/>
        <s v="Senior Systems Administrator"/>
        <s v="Systems Administrator"/>
        <s v="Database Administrator II"/>
        <s v="Human Resources Assistant"/>
        <s v="Institutional Research Analyst"/>
        <s v="Custodian I"/>
        <s v="Accounting Coordinator (COF)"/>
        <s v="Purchasing Coordinator/Analyst"/>
        <s v="Network Engineer"/>
        <s v="Systems Support Specialist I"/>
        <s v="Cloud Application Engineer"/>
        <s v="Data Warehouse Administrator"/>
        <s v="Data Warehouse Developer"/>
        <s v="Human Resources Technician"/>
        <s v="Web Developer"/>
        <s v="Systems Support Analyst"/>
        <s v="Payroll Specialist"/>
        <s v="Coordinator, Risk Mgmt &amp; Safet"/>
        <s v="Security Engineer"/>
        <s v="Educational Services Asst."/>
        <s v="Human Resources Specialist"/>
        <s v="Business Services Assistant"/>
        <s v="Admin. Asst., Human Resources"/>
        <s v="Exec Asst, General Counsel"/>
        <s v="Vice Chancellor, Educ Svcs"/>
        <s v="Chancellor"/>
        <s v="Assoc Vice Chan -Comm,Econ,WF"/>
        <s v="Chief Financial Officer"/>
        <s v="Accounting Manager - BC"/>
        <s v="Dir, Accounting Services"/>
        <s v="Vice Chancellor, HR"/>
        <s v="Dir, Research Analysis &amp; Rptg"/>
        <s v="Payroll Manager"/>
        <s v="Assistant Dir, HR"/>
        <s v="College HR Manager-PC"/>
        <s v="Building Facility Manager"/>
        <s v="Director, Human Resources"/>
        <s v="College HR Manager-CC"/>
        <s v="Accounting Manager - CC"/>
        <s v="Accounting Manager"/>
        <s v="Accounting Manager - PC"/>
        <s v="Dir_Grants_Resources Dev"/>
        <s v="Executive Assistant"/>
        <s v="General Counsel"/>
        <s v="IT Customer Support Op Manager"/>
        <s v="Exec Dir-Risk Assmnt &amp; Mgt"/>
        <s v="Director, IT security"/>
        <s v="Manager-IT Enterprise Projects"/>
        <s v="Director, Programs &amp; Complianc"/>
        <s v="Director, Enterprise Applctns"/>
        <s v="Chief Information Officer"/>
        <s v="Assoc Dir, Enterprise Applctns"/>
        <s v="Director of IT Infrastructure"/>
        <s v="Purchasing &amp; Contracts Manager"/>
        <s v="Budget Analyst"/>
        <s v="Classified Hourly"/>
        <s v="Accounting Coordinator - TEMP"/>
        <s v="Accounting Tech. II-TEMP"/>
        <s v="Board Member"/>
        <s v="Classified Hourly-Substitute"/>
        <s v="Classified Hourly- Substitute"/>
        <s v="Construction Project Manager"/>
        <s v="Assoc Vice Chan, Const &amp; Facil"/>
        <s v="Program Manager"/>
        <s v="Department Assistant II (COF)"/>
        <s v="Pgm Dir, Adult Education"/>
        <s v="Pgm Dir, Work Based Learning"/>
        <s v="Data Warehouse Developer COF"/>
        <m/>
        <s v="Department Assistant III-temp"/>
        <s v="Administrative Assistant - Tem"/>
        <s v="Dir, Bus Entrepreneurship Cnt"/>
      </sharedItems>
    </cacheField>
    <cacheField name="ID" numFmtId="0">
      <sharedItems containsBlank="1"/>
    </cacheField>
    <cacheField name="NAME" numFmtId="0">
      <sharedItems containsBlank="1"/>
    </cacheField>
    <cacheField name="Grade" numFmtId="0">
      <sharedItems containsBlank="1" containsMixedTypes="1" containsNumber="1" containsInteger="1" minValue="435" maxValue="465"/>
    </cacheField>
    <cacheField name="Step" numFmtId="0">
      <sharedItems containsString="0" containsBlank="1" containsNumber="1" containsInteger="1" minValue="1" maxValue="15"/>
    </cacheField>
    <cacheField name="E-Class Summary" numFmtId="0">
      <sharedItems containsBlank="1"/>
    </cacheField>
    <cacheField name="E-Class" numFmtId="0">
      <sharedItems containsBlank="1"/>
    </cacheField>
    <cacheField name="POSITION STATUS" numFmtId="0">
      <sharedItems containsBlank="1"/>
    </cacheField>
    <cacheField name="PBUD FTE" numFmtId="0">
      <sharedItems containsString="0" containsBlank="1" containsNumber="1" minValue="0" maxValue="1"/>
    </cacheField>
    <cacheField name="JOBS Appointment" numFmtId="0">
      <sharedItems containsString="0" containsBlank="1" containsNumber="1" containsInteger="1" minValue="100" maxValue="100"/>
    </cacheField>
    <cacheField name="JOBS FTE" numFmtId="0">
      <sharedItems containsString="0" containsBlank="1" containsNumber="1" containsInteger="1" minValue="0" maxValue="1"/>
    </cacheField>
    <cacheField name="FUND" numFmtId="0">
      <sharedItems containsBlank="1" count="16">
        <s v="BF100"/>
        <s v="CE005"/>
        <s v="CE015"/>
        <s v="CE035"/>
        <s v="GU001"/>
        <s v="MG100"/>
        <s v="MJ100"/>
        <s v="RP033"/>
        <s v="RP035"/>
        <s v="RP613"/>
        <s v="RP634"/>
        <s v="RP644"/>
        <s v="RP647"/>
        <s v="RP661"/>
        <m/>
        <s v="RP402"/>
      </sharedItems>
    </cacheField>
    <cacheField name="ORG" numFmtId="0">
      <sharedItems containsBlank="1"/>
    </cacheField>
    <cacheField name="OR" numFmtId="0">
      <sharedItems containsBlank="1" containsMixedTypes="1" containsNumber="1" containsInteger="1" minValue="11" maxValue="14" count="19">
        <s v="12"/>
        <s v="11"/>
        <s v="D0"/>
        <s v="14"/>
        <s v="13"/>
        <s v="10"/>
        <s v="15"/>
        <s v="R0"/>
        <s v="R2"/>
        <s v="16"/>
        <s v="18"/>
        <s v="51"/>
        <s v="21"/>
        <s v="41"/>
        <s v="20"/>
        <m/>
        <n v="13"/>
        <n v="14"/>
        <n v="11"/>
      </sharedItems>
    </cacheField>
    <cacheField name="ACCT" numFmtId="0">
      <sharedItems containsBlank="1" containsMixedTypes="1" containsNumber="1" containsInteger="1" minValue="1214" maxValue="2110"/>
    </cacheField>
    <cacheField name="PROG" numFmtId="0">
      <sharedItems containsBlank="1" containsMixedTypes="1" containsNumber="1" containsInteger="1" minValue="660010" maxValue="711001"/>
    </cacheField>
    <cacheField name="ACT" numFmtId="0">
      <sharedItems containsBlank="1"/>
    </cacheField>
    <cacheField name="LOC" numFmtId="0">
      <sharedItems containsBlank="1"/>
    </cacheField>
    <cacheField name="PERCENTAGE" numFmtId="0">
      <sharedItems containsString="0" containsBlank="1" containsNumber="1" minValue="0" maxValue="1"/>
    </cacheField>
    <cacheField name="Total Salary" numFmtId="0">
      <sharedItems containsString="0" containsBlank="1" containsNumber="1" minValue="0" maxValue="290000"/>
    </cacheField>
    <cacheField name="Salary by FOAPAL" numFmtId="0">
      <sharedItems containsString="0" containsBlank="1" containsNumber="1" minValue="0" maxValue="261000"/>
    </cacheField>
    <cacheField name="Benefits by FOAPAL" numFmtId="0">
      <sharedItems containsString="0" containsBlank="1" containsNumber="1" minValue="0" maxValue="111311.72273977695"/>
    </cacheField>
    <cacheField name="Total Compensation by FOAPAL" numFmtId="0">
      <sharedItems containsString="0" containsBlank="1" containsNumber="1" minValue="0" maxValue="372311.72273977695"/>
    </cacheField>
    <cacheField name="Vision - 490" numFmtId="0">
      <sharedItems containsString="0" containsBlank="1" containsNumber="1" minValue="0" maxValue="223.2"/>
    </cacheField>
    <cacheField name="Life - 491" numFmtId="0">
      <sharedItems containsString="0" containsBlank="1" containsNumber="1" minValue="0" maxValue="85.8"/>
    </cacheField>
    <cacheField name="Health - 331" numFmtId="0">
      <sharedItems containsString="0" containsBlank="1" containsNumber="1" minValue="0" maxValue="16188"/>
    </cacheField>
    <cacheField name="Dental - 493" numFmtId="0">
      <sharedItems containsString="0" containsBlank="1" containsNumber="1" minValue="0" maxValue="1296.6719330855017"/>
    </cacheField>
    <cacheField name="CELL ALLOW - CEP" numFmtId="0">
      <sharedItems containsString="0" containsBlank="1" containsNumber="1" containsInteger="1" minValue="180" maxValue="420"/>
    </cacheField>
    <cacheField name="OPEB-ARC - 485" numFmtId="0">
      <sharedItems containsString="0" containsBlank="1" containsNumber="1" minValue="0" maxValue="5115.5999999999995"/>
    </cacheField>
    <cacheField name="Def Ben - 519" numFmtId="0">
      <sharedItems containsString="0" containsBlank="1" containsNumber="1" minValue="594.79916099999991" maxValue="672.96291900000006"/>
    </cacheField>
    <cacheField name="Medicar - 906" numFmtId="0">
      <sharedItems containsString="0" containsBlank="1" containsNumber="1" minValue="0" maxValue="3784.5"/>
    </cacheField>
    <cacheField name="W/C - 912" numFmtId="0">
      <sharedItems containsString="0" containsBlank="1" containsNumber="1" minValue="0" maxValue="2572.9380000000001"/>
    </cacheField>
    <cacheField name="403B Acct" numFmtId="0">
      <sharedItems containsString="0" containsBlank="1" containsNumber="1" containsInteger="1" minValue="1740" maxValue="15660"/>
    </cacheField>
    <cacheField name="LTD - 913" numFmtId="0">
      <sharedItems containsString="0" containsBlank="1" containsNumber="1" minValue="0" maxValue="653.40000000000009"/>
    </cacheField>
    <cacheField name="Unempl - 914" numFmtId="0">
      <sharedItems containsString="0" containsBlank="1" containsNumber="1" minValue="0" maxValue="130.5"/>
    </cacheField>
    <cacheField name="STRS - 930" numFmtId="0">
      <sharedItems containsString="0" containsBlank="1" containsNumber="1" minValue="3309.1327920000003" maxValue="31122.493559999999"/>
    </cacheField>
    <cacheField name="OASDI - 994" numFmtId="0">
      <sharedItems containsString="0" containsBlank="1" containsNumber="1" minValue="0" maxValue="8239.7999999999993"/>
    </cacheField>
    <cacheField name="PERS - 999" numFmtId="0">
      <sharedItems containsString="0" containsBlank="1" containsNumber="1" minValue="0" maxValue="60030"/>
    </cacheField>
    <cacheField name="Step and Impact Classified" numFmtId="43">
      <sharedItems containsString="0" containsBlank="1" containsNumber="1" minValue="0" maxValue="2700.4595121951133"/>
    </cacheField>
    <cacheField name="Step and Impact MGT and Conf" numFmtId="43">
      <sharedItems containsString="0" containsBlank="1" containsNumber="1" minValue="0" maxValue="5134.7470731706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6">
  <r>
    <s v="DMC094"/>
    <s v="Institutional Research Analyst"/>
    <s v="@00691884"/>
    <s v="Sarabia Ortiz, Rachel R."/>
    <s v="500"/>
    <x v="0"/>
    <x v="0"/>
    <x v="0"/>
    <x v="0"/>
    <x v="0"/>
    <x v="0"/>
    <x v="0"/>
    <x v="0"/>
    <s v="10AIR1"/>
    <x v="0"/>
    <x v="0"/>
    <x v="0"/>
    <x v="0"/>
    <x v="0"/>
    <x v="0"/>
    <n v="76447.570000000007"/>
    <n v="76447.570000000007"/>
    <n v="42883.2143301455"/>
    <n v="119330.78433014551"/>
    <x v="0"/>
    <x v="0"/>
    <x v="0"/>
    <x v="0"/>
    <x v="0"/>
    <n v="1498.372372"/>
    <x v="0"/>
    <n v="1108.4897650000003"/>
    <n v="753.62014506000014"/>
    <x v="0"/>
    <n v="653.40000000000009"/>
    <n v="38.223785000000007"/>
    <x v="0"/>
    <n v="4739.7493400000003"/>
    <n v="15824.646990000001"/>
  </r>
  <r>
    <s v="DMC134"/>
    <s v="Institutional Research Analyst"/>
    <s v="@00277994"/>
    <s v="Castro, Alexandro"/>
    <s v="500"/>
    <x v="1"/>
    <x v="0"/>
    <x v="0"/>
    <x v="0"/>
    <x v="0"/>
    <x v="0"/>
    <x v="0"/>
    <x v="0"/>
    <s v="10AIR1"/>
    <x v="0"/>
    <x v="0"/>
    <x v="0"/>
    <x v="0"/>
    <x v="0"/>
    <x v="0"/>
    <n v="80317.679999999993"/>
    <n v="80317.679999999993"/>
    <n v="44096.331270525494"/>
    <n v="124414.01127052549"/>
    <x v="0"/>
    <x v="0"/>
    <x v="0"/>
    <x v="0"/>
    <x v="0"/>
    <n v="1574.2265279999999"/>
    <x v="0"/>
    <n v="1164.60636"/>
    <n v="791.77168943999993"/>
    <x v="0"/>
    <n v="653.40000000000009"/>
    <n v="40.158839999999998"/>
    <x v="0"/>
    <n v="4979.6961599999995"/>
    <n v="16625.759759999997"/>
  </r>
  <r>
    <s v="DMC135"/>
    <s v="Institutional Research Analyst"/>
    <s v="@00658581"/>
    <s v="Anderson, Amber D."/>
    <s v="500"/>
    <x v="1"/>
    <x v="0"/>
    <x v="0"/>
    <x v="0"/>
    <x v="0"/>
    <x v="0"/>
    <x v="0"/>
    <x v="0"/>
    <s v="10AIR1"/>
    <x v="0"/>
    <x v="0"/>
    <x v="0"/>
    <x v="0"/>
    <x v="0"/>
    <x v="0"/>
    <n v="80317.73"/>
    <n v="80317.73"/>
    <n v="44096.346943425495"/>
    <n v="124414.07694342549"/>
    <x v="0"/>
    <x v="0"/>
    <x v="0"/>
    <x v="0"/>
    <x v="0"/>
    <n v="1574.2275079999999"/>
    <x v="0"/>
    <n v="1164.6070850000001"/>
    <n v="791.77218233999997"/>
    <x v="0"/>
    <n v="653.40000000000009"/>
    <n v="40.158864999999999"/>
    <x v="0"/>
    <n v="4979.6992599999994"/>
    <n v="16625.770109999998"/>
  </r>
  <r>
    <s v="DMN016"/>
    <s v="Dir, Research Analysis &amp; Rptg"/>
    <s v="@00680314"/>
    <s v="Ngo, Quan M."/>
    <s v="K"/>
    <x v="2"/>
    <x v="1"/>
    <x v="1"/>
    <x v="0"/>
    <x v="0"/>
    <x v="0"/>
    <x v="0"/>
    <x v="0"/>
    <s v="10AIR1"/>
    <x v="0"/>
    <x v="1"/>
    <x v="0"/>
    <x v="0"/>
    <x v="0"/>
    <x v="0"/>
    <n v="122592.14"/>
    <n v="122592.14"/>
    <n v="57347.598953205495"/>
    <n v="179939.73895320549"/>
    <x v="0"/>
    <x v="0"/>
    <x v="0"/>
    <x v="0"/>
    <x v="0"/>
    <n v="2402.8059439999997"/>
    <x v="0"/>
    <n v="1777.5860300000002"/>
    <n v="1208.5133161200001"/>
    <x v="0"/>
    <n v="653.40000000000009"/>
    <n v="61.29607"/>
    <x v="0"/>
    <n v="7600.7126799999996"/>
    <n v="25376.572979999997"/>
  </r>
  <r>
    <s v="DML001"/>
    <s v="Educational Services Asst."/>
    <s v="@00000486"/>
    <s v="Taylor, Denise A."/>
    <s v="C"/>
    <x v="3"/>
    <x v="1"/>
    <x v="2"/>
    <x v="0"/>
    <x v="0"/>
    <x v="0"/>
    <x v="0"/>
    <x v="0"/>
    <s v="110ES1"/>
    <x v="1"/>
    <x v="2"/>
    <x v="0"/>
    <x v="0"/>
    <x v="0"/>
    <x v="0"/>
    <n v="79244.800000000003"/>
    <n v="79244.800000000003"/>
    <n v="43760.028451485501"/>
    <n v="123004.8284514855"/>
    <x v="0"/>
    <x v="0"/>
    <x v="0"/>
    <x v="0"/>
    <x v="0"/>
    <n v="1553.1980800000001"/>
    <x v="0"/>
    <n v="1149.0496000000001"/>
    <n v="781.19523840000011"/>
    <x v="0"/>
    <n v="653.40000000000009"/>
    <n v="39.622399999999999"/>
    <x v="0"/>
    <n v="4913.1776"/>
    <n v="16403.673599999998"/>
  </r>
  <r>
    <s v="DMM001"/>
    <s v="Vice Chancellor, Educ Svcs"/>
    <s v="@00002848"/>
    <s v="Means, John M."/>
    <s v="M"/>
    <x v="4"/>
    <x v="1"/>
    <x v="1"/>
    <x v="0"/>
    <x v="0"/>
    <x v="0"/>
    <x v="0"/>
    <x v="0"/>
    <s v="110ES1"/>
    <x v="1"/>
    <x v="3"/>
    <x v="0"/>
    <x v="0"/>
    <x v="0"/>
    <x v="0"/>
    <n v="195493.05"/>
    <n v="195493.05"/>
    <n v="59603.469524985499"/>
    <n v="255096.51952498549"/>
    <x v="0"/>
    <x v="0"/>
    <x v="0"/>
    <x v="0"/>
    <x v="1"/>
    <n v="3831.6637799999999"/>
    <x v="0"/>
    <n v="2834.6492250000001"/>
    <n v="1927.1704869"/>
    <x v="0"/>
    <n v="653.40000000000009"/>
    <n v="97.746524999999991"/>
    <x v="1"/>
    <m/>
    <m/>
  </r>
  <r>
    <s v="DMN034"/>
    <s v="Dir_Grants_Resources Dev"/>
    <m/>
    <s v="Vacant (funded for 50% of the year)"/>
    <s v="I"/>
    <x v="5"/>
    <x v="1"/>
    <x v="1"/>
    <x v="0"/>
    <x v="0"/>
    <x v="0"/>
    <x v="0"/>
    <x v="0"/>
    <s v="110ES1"/>
    <x v="1"/>
    <x v="1"/>
    <x v="0"/>
    <x v="0"/>
    <x v="0"/>
    <x v="0"/>
    <n v="51352.195"/>
    <n v="51352.195"/>
    <n v="25738.499037352747"/>
    <n v="77090.694037352747"/>
    <x v="1"/>
    <x v="1"/>
    <x v="1"/>
    <x v="1"/>
    <x v="0"/>
    <n v="1006.503022"/>
    <x v="0"/>
    <n v="744.60682750000001"/>
    <n v="506.22993831000002"/>
    <x v="0"/>
    <n v="508.38673050000006"/>
    <n v="25.676097500000001"/>
    <x v="0"/>
    <n v="3183.8360899999998"/>
    <n v="10629.904364999999"/>
  </r>
  <r>
    <s v="DMC130"/>
    <s v="Department Assistant II"/>
    <m/>
    <m/>
    <m/>
    <x v="6"/>
    <x v="0"/>
    <x v="0"/>
    <x v="0"/>
    <x v="1"/>
    <x v="1"/>
    <x v="1"/>
    <x v="1"/>
    <s v="117ET8"/>
    <x v="1"/>
    <x v="0"/>
    <x v="1"/>
    <x v="0"/>
    <x v="0"/>
    <x v="0"/>
    <n v="0"/>
    <n v="0"/>
    <n v="0"/>
    <n v="0"/>
    <x v="2"/>
    <x v="2"/>
    <x v="2"/>
    <x v="2"/>
    <x v="0"/>
    <n v="0"/>
    <x v="0"/>
    <n v="0"/>
    <n v="0"/>
    <x v="0"/>
    <n v="0"/>
    <n v="0"/>
    <x v="0"/>
    <n v="0"/>
    <n v="0"/>
  </r>
  <r>
    <s v="DMC166"/>
    <s v="Workforce Prep Assistant"/>
    <s v="@00064745"/>
    <s v="Beed, Anna B."/>
    <s v="425"/>
    <x v="7"/>
    <x v="0"/>
    <x v="0"/>
    <x v="0"/>
    <x v="0"/>
    <x v="0"/>
    <x v="0"/>
    <x v="1"/>
    <s v="117ET8"/>
    <x v="1"/>
    <x v="0"/>
    <x v="1"/>
    <x v="0"/>
    <x v="0"/>
    <x v="1"/>
    <n v="51496.939899999954"/>
    <n v="30898.163939999969"/>
    <n v="20951.195655161806"/>
    <n v="51849.359595161775"/>
    <x v="3"/>
    <x v="3"/>
    <x v="3"/>
    <x v="3"/>
    <x v="0"/>
    <n v="605.60401322399935"/>
    <x v="0"/>
    <n v="448.02337712999957"/>
    <n v="304.59410012051973"/>
    <x v="0"/>
    <n v="305.8918230059997"/>
    <n v="15.449081969999986"/>
    <x v="0"/>
    <n v="1915.6861642799981"/>
    <n v="6395.9199355799938"/>
  </r>
  <r>
    <s v="DMN043"/>
    <s v="Director, Clean Energy Center"/>
    <s v="@00412898"/>
    <s v="Teasdale, David G."/>
    <s v="J"/>
    <x v="8"/>
    <x v="1"/>
    <x v="1"/>
    <x v="0"/>
    <x v="0"/>
    <x v="0"/>
    <x v="0"/>
    <x v="1"/>
    <s v="117ET8"/>
    <x v="1"/>
    <x v="1"/>
    <x v="1"/>
    <x v="0"/>
    <x v="0"/>
    <x v="2"/>
    <n v="144210.15"/>
    <n v="57684.06"/>
    <n v="25369.0831327142"/>
    <n v="83053.143132714205"/>
    <x v="4"/>
    <x v="4"/>
    <x v="4"/>
    <x v="4"/>
    <x v="0"/>
    <n v="1130.6075759999999"/>
    <x v="0"/>
    <n v="836.41886999999997"/>
    <n v="568.64946348000001"/>
    <x v="0"/>
    <n v="261.36000000000007"/>
    <n v="28.842030000000001"/>
    <x v="0"/>
    <n v="3295.92"/>
    <n v="11940.600419999999"/>
  </r>
  <r>
    <s v="DMN056"/>
    <s v="Training Manager - COF"/>
    <s v="@00484050"/>
    <s v="Elliott, William"/>
    <s v="G"/>
    <x v="9"/>
    <x v="1"/>
    <x v="1"/>
    <x v="0"/>
    <x v="0"/>
    <x v="0"/>
    <x v="0"/>
    <x v="1"/>
    <s v="117ET8"/>
    <x v="1"/>
    <x v="1"/>
    <x v="1"/>
    <x v="0"/>
    <x v="0"/>
    <x v="3"/>
    <n v="96517.23"/>
    <n v="48258.614999999998"/>
    <n v="24587.10490721275"/>
    <n v="72845.719907212741"/>
    <x v="1"/>
    <x v="1"/>
    <x v="1"/>
    <x v="1"/>
    <x v="0"/>
    <n v="945.86885399999994"/>
    <x v="0"/>
    <n v="699.74991750000004"/>
    <n v="475.73342667000003"/>
    <x v="0"/>
    <n v="326.70000000000005"/>
    <n v="24.129307499999999"/>
    <x v="0"/>
    <n v="2992.03413"/>
    <n v="9989.533304999999"/>
  </r>
  <r>
    <s v="DMN062"/>
    <s v="Director, Programs &amp; Complianc"/>
    <s v="@00006798"/>
    <s v="Steele, Bonita"/>
    <s v="I"/>
    <x v="10"/>
    <x v="1"/>
    <x v="1"/>
    <x v="0"/>
    <x v="0"/>
    <x v="0"/>
    <x v="0"/>
    <x v="2"/>
    <s v="11BA01"/>
    <x v="1"/>
    <x v="1"/>
    <x v="1"/>
    <x v="0"/>
    <x v="0"/>
    <x v="4"/>
    <n v="128263.71"/>
    <n v="0"/>
    <n v="0"/>
    <n v="0"/>
    <x v="2"/>
    <x v="2"/>
    <x v="2"/>
    <x v="2"/>
    <x v="0"/>
    <n v="0"/>
    <x v="0"/>
    <n v="0"/>
    <n v="0"/>
    <x v="0"/>
    <n v="0"/>
    <n v="0"/>
    <x v="0"/>
    <n v="0"/>
    <n v="0"/>
  </r>
  <r>
    <s v="DMN062"/>
    <s v="Director, Programs &amp; Complianc"/>
    <s v="@00006798"/>
    <s v="Steele, Bonita"/>
    <s v="I"/>
    <x v="10"/>
    <x v="1"/>
    <x v="1"/>
    <x v="0"/>
    <x v="0"/>
    <x v="0"/>
    <x v="0"/>
    <x v="0"/>
    <s v="11BA01"/>
    <x v="1"/>
    <x v="1"/>
    <x v="0"/>
    <x v="0"/>
    <x v="0"/>
    <x v="0"/>
    <n v="128263.71"/>
    <n v="128263.71"/>
    <n v="59125.397942265503"/>
    <n v="187389.10794226552"/>
    <x v="0"/>
    <x v="0"/>
    <x v="0"/>
    <x v="0"/>
    <x v="0"/>
    <n v="2513.9687159999999"/>
    <x v="0"/>
    <n v="1859.8237950000002"/>
    <n v="1264.4236531800002"/>
    <x v="0"/>
    <n v="653.40000000000009"/>
    <n v="64.131855000000002"/>
    <x v="0"/>
    <n v="7952.3500200000008"/>
    <n v="26550.58797"/>
  </r>
  <r>
    <s v="DMN058"/>
    <s v="Pgm Dir, Work Based Learning"/>
    <m/>
    <m/>
    <m/>
    <x v="6"/>
    <x v="1"/>
    <x v="1"/>
    <x v="0"/>
    <x v="0"/>
    <x v="1"/>
    <x v="1"/>
    <x v="3"/>
    <s v="11BA02"/>
    <x v="1"/>
    <x v="1"/>
    <x v="1"/>
    <x v="0"/>
    <x v="0"/>
    <x v="0"/>
    <m/>
    <n v="0"/>
    <n v="0"/>
    <n v="0"/>
    <x v="5"/>
    <x v="5"/>
    <x v="5"/>
    <x v="5"/>
    <x v="0"/>
    <n v="0"/>
    <x v="0"/>
    <n v="0"/>
    <n v="0"/>
    <x v="0"/>
    <n v="0"/>
    <n v="0"/>
    <x v="0"/>
    <n v="0"/>
    <n v="0"/>
  </r>
  <r>
    <s v="BEC018"/>
    <s v="Administrative Assistant"/>
    <s v="@00058294"/>
    <s v="Horton, Genevieve T."/>
    <s v="445"/>
    <x v="9"/>
    <x v="0"/>
    <x v="0"/>
    <x v="0"/>
    <x v="0"/>
    <x v="0"/>
    <x v="0"/>
    <x v="4"/>
    <s v="11BAE5"/>
    <x v="1"/>
    <x v="0"/>
    <x v="1"/>
    <x v="1"/>
    <x v="0"/>
    <x v="5"/>
    <n v="59720.639999999999"/>
    <n v="9949.458623999999"/>
    <n v="6260.4712497914352"/>
    <n v="16209.929873791434"/>
    <x v="6"/>
    <x v="6"/>
    <x v="6"/>
    <x v="6"/>
    <x v="0"/>
    <n v="195.00938903039997"/>
    <x v="0"/>
    <n v="144.26715004799999"/>
    <n v="98.081763115391993"/>
    <x v="0"/>
    <n v="98.499640377600002"/>
    <n v="4.974729312"/>
    <x v="0"/>
    <n v="616.86643468799991"/>
    <n v="2059.5379351679999"/>
  </r>
  <r>
    <s v="BEC018"/>
    <s v="Administrative Assistant"/>
    <s v="@00058294"/>
    <s v="Horton, Genevieve T."/>
    <s v="445"/>
    <x v="9"/>
    <x v="0"/>
    <x v="0"/>
    <x v="0"/>
    <x v="0"/>
    <x v="0"/>
    <x v="0"/>
    <x v="4"/>
    <s v="11BAE5"/>
    <x v="1"/>
    <x v="0"/>
    <x v="1"/>
    <x v="2"/>
    <x v="0"/>
    <x v="6"/>
    <n v="59720.639999999999"/>
    <n v="9955.4306880000004"/>
    <n v="6264.2290356556578"/>
    <n v="16219.659723655659"/>
    <x v="7"/>
    <x v="7"/>
    <x v="7"/>
    <x v="7"/>
    <x v="0"/>
    <n v="195.12644148480001"/>
    <x v="0"/>
    <n v="144.353744976"/>
    <n v="98.140635722304012"/>
    <x v="0"/>
    <n v="98.558763811200009"/>
    <n v="4.9777153439999999"/>
    <x v="0"/>
    <n v="617.23670265600003"/>
    <n v="2060.7741524160001"/>
  </r>
  <r>
    <s v="BEC018"/>
    <s v="Administrative Assistant"/>
    <s v="@00058294"/>
    <s v="Horton, Genevieve T."/>
    <s v="445"/>
    <x v="9"/>
    <x v="0"/>
    <x v="0"/>
    <x v="0"/>
    <x v="0"/>
    <x v="0"/>
    <x v="0"/>
    <x v="4"/>
    <s v="11BAE5"/>
    <x v="1"/>
    <x v="0"/>
    <x v="1"/>
    <x v="3"/>
    <x v="0"/>
    <x v="6"/>
    <n v="59720.639999999999"/>
    <n v="9955.4306880000004"/>
    <n v="6264.2290356556578"/>
    <n v="16219.659723655659"/>
    <x v="7"/>
    <x v="7"/>
    <x v="7"/>
    <x v="7"/>
    <x v="0"/>
    <n v="195.12644148480001"/>
    <x v="0"/>
    <n v="144.353744976"/>
    <n v="98.140635722304012"/>
    <x v="0"/>
    <n v="98.558763811200009"/>
    <n v="4.9777153439999999"/>
    <x v="0"/>
    <n v="617.23670265600003"/>
    <n v="2060.7741524160001"/>
  </r>
  <r>
    <s v="DMC173"/>
    <s v="Department Assistant II (COF)"/>
    <m/>
    <m/>
    <m/>
    <x v="6"/>
    <x v="0"/>
    <x v="0"/>
    <x v="0"/>
    <x v="2"/>
    <x v="1"/>
    <x v="1"/>
    <x v="4"/>
    <s v="11BAE5"/>
    <x v="1"/>
    <x v="0"/>
    <x v="1"/>
    <x v="0"/>
    <x v="0"/>
    <x v="0"/>
    <n v="16075.652999999998"/>
    <n v="16075.652999999998"/>
    <n v="994.40774327399993"/>
    <n v="17070.060743274"/>
    <x v="5"/>
    <x v="5"/>
    <x v="5"/>
    <x v="5"/>
    <x v="0"/>
    <m/>
    <x v="1"/>
    <n v="233.0969685"/>
    <n v="158.47378727399999"/>
    <x v="0"/>
    <m/>
    <n v="8.0378264999999995"/>
    <x v="0"/>
    <m/>
    <m/>
  </r>
  <r>
    <s v="DMM027"/>
    <s v="Assoc Vice Chan -Comm,Econ,WF"/>
    <s v="@00709065"/>
    <s v="Gerald, Gertrude G."/>
    <s v="L"/>
    <x v="11"/>
    <x v="1"/>
    <x v="3"/>
    <x v="0"/>
    <x v="0"/>
    <x v="0"/>
    <x v="0"/>
    <x v="4"/>
    <s v="11BAE5"/>
    <x v="1"/>
    <x v="3"/>
    <x v="1"/>
    <x v="3"/>
    <x v="0"/>
    <x v="4"/>
    <n v="164225.01"/>
    <n v="0"/>
    <n v="0"/>
    <n v="0"/>
    <x v="2"/>
    <x v="2"/>
    <x v="2"/>
    <x v="2"/>
    <x v="0"/>
    <n v="0"/>
    <x v="0"/>
    <n v="0"/>
    <n v="0"/>
    <x v="0"/>
    <n v="0"/>
    <n v="0"/>
    <x v="0"/>
    <n v="0"/>
    <n v="0"/>
  </r>
  <r>
    <s v="DMM027"/>
    <s v="Assoc Vice Chan -Comm,Econ,WF"/>
    <s v="@00709065"/>
    <s v="Gerald, Gertrude G."/>
    <s v="L"/>
    <x v="11"/>
    <x v="1"/>
    <x v="3"/>
    <x v="0"/>
    <x v="0"/>
    <x v="0"/>
    <x v="0"/>
    <x v="4"/>
    <s v="11BAE5"/>
    <x v="1"/>
    <x v="3"/>
    <x v="1"/>
    <x v="1"/>
    <x v="0"/>
    <x v="4"/>
    <n v="164225.01"/>
    <n v="0"/>
    <n v="0"/>
    <n v="0"/>
    <x v="2"/>
    <x v="2"/>
    <x v="2"/>
    <x v="2"/>
    <x v="0"/>
    <n v="0"/>
    <x v="0"/>
    <n v="0"/>
    <n v="0"/>
    <x v="0"/>
    <n v="0"/>
    <n v="0"/>
    <x v="0"/>
    <n v="0"/>
    <n v="0"/>
  </r>
  <r>
    <s v="DMM027"/>
    <s v="Assoc Vice Chan -Comm,Econ,WF"/>
    <s v="@00709065"/>
    <s v="Gerald, Gertrude G."/>
    <s v="L"/>
    <x v="11"/>
    <x v="1"/>
    <x v="3"/>
    <x v="0"/>
    <x v="0"/>
    <x v="0"/>
    <x v="0"/>
    <x v="4"/>
    <s v="11BAE5"/>
    <x v="1"/>
    <x v="3"/>
    <x v="1"/>
    <x v="2"/>
    <x v="0"/>
    <x v="4"/>
    <n v="164225.01"/>
    <n v="0"/>
    <n v="0"/>
    <n v="0"/>
    <x v="2"/>
    <x v="2"/>
    <x v="2"/>
    <x v="2"/>
    <x v="0"/>
    <n v="0"/>
    <x v="0"/>
    <n v="0"/>
    <n v="0"/>
    <x v="0"/>
    <n v="0"/>
    <n v="0"/>
    <x v="0"/>
    <n v="0"/>
    <n v="0"/>
  </r>
  <r>
    <s v="DMN060"/>
    <s v="Pgm Dir, Adult Education"/>
    <s v="@00691290"/>
    <s v="Weldon, Thatcher G."/>
    <s v="G"/>
    <x v="2"/>
    <x v="1"/>
    <x v="1"/>
    <x v="0"/>
    <x v="0"/>
    <x v="0"/>
    <x v="0"/>
    <x v="4"/>
    <s v="11BAE5"/>
    <x v="1"/>
    <x v="1"/>
    <x v="1"/>
    <x v="2"/>
    <x v="0"/>
    <x v="7"/>
    <n v="89625.84"/>
    <n v="29872.292471999997"/>
    <n v="15669.782360985573"/>
    <n v="45542.074832985571"/>
    <x v="8"/>
    <x v="8"/>
    <x v="8"/>
    <x v="8"/>
    <x v="0"/>
    <n v="585.49693245119988"/>
    <x v="0"/>
    <n v="433.14824084399999"/>
    <n v="294.48105918897596"/>
    <x v="0"/>
    <n v="217.77822000000003"/>
    <n v="14.936146235999999"/>
    <x v="0"/>
    <n v="1852.0821332639998"/>
    <n v="6183.5645417039996"/>
  </r>
  <r>
    <s v="DMN060"/>
    <s v="Pgm Dir, Adult Education"/>
    <s v="@00691290"/>
    <s v="Weldon, Thatcher G."/>
    <s v="G"/>
    <x v="2"/>
    <x v="1"/>
    <x v="1"/>
    <x v="0"/>
    <x v="0"/>
    <x v="0"/>
    <x v="0"/>
    <x v="4"/>
    <s v="11BAE5"/>
    <x v="1"/>
    <x v="1"/>
    <x v="1"/>
    <x v="1"/>
    <x v="0"/>
    <x v="8"/>
    <n v="89625.84"/>
    <n v="29881.255056000002"/>
    <n v="15674.483765834357"/>
    <n v="45555.738821834355"/>
    <x v="9"/>
    <x v="9"/>
    <x v="9"/>
    <x v="9"/>
    <x v="0"/>
    <n v="585.67259909760003"/>
    <x v="0"/>
    <n v="433.27819831200003"/>
    <n v="294.56941234204805"/>
    <x v="0"/>
    <n v="217.84356000000005"/>
    <n v="14.940627528000002"/>
    <x v="0"/>
    <n v="1852.6378134720001"/>
    <n v="6185.4197965920002"/>
  </r>
  <r>
    <s v="DMN060"/>
    <s v="Pgm Dir, Adult Education"/>
    <s v="@00691290"/>
    <s v="Weldon, Thatcher G."/>
    <s v="G"/>
    <x v="2"/>
    <x v="1"/>
    <x v="1"/>
    <x v="0"/>
    <x v="0"/>
    <x v="0"/>
    <x v="0"/>
    <x v="4"/>
    <s v="11BAE5"/>
    <x v="1"/>
    <x v="1"/>
    <x v="1"/>
    <x v="3"/>
    <x v="0"/>
    <x v="7"/>
    <n v="89625.84"/>
    <n v="29872.292471999997"/>
    <n v="15669.782360985573"/>
    <n v="45542.074832985571"/>
    <x v="8"/>
    <x v="8"/>
    <x v="8"/>
    <x v="8"/>
    <x v="0"/>
    <n v="585.49693245119988"/>
    <x v="0"/>
    <n v="433.14824084399999"/>
    <n v="294.48105918897596"/>
    <x v="0"/>
    <n v="217.77822000000003"/>
    <n v="14.936146235999999"/>
    <x v="0"/>
    <n v="1852.0821332639998"/>
    <n v="6183.5645417039996"/>
  </r>
  <r>
    <s v="DTC015"/>
    <s v="Department Asst I - TEMP"/>
    <s v="@00613587"/>
    <s v="Leggio, Sarah M."/>
    <s v="320"/>
    <x v="5"/>
    <x v="0"/>
    <x v="4"/>
    <x v="0"/>
    <x v="1"/>
    <x v="0"/>
    <x v="2"/>
    <x v="4"/>
    <s v="11BAE4"/>
    <x v="1"/>
    <x v="4"/>
    <x v="1"/>
    <x v="4"/>
    <x v="0"/>
    <x v="4"/>
    <m/>
    <n v="0"/>
    <n v="0"/>
    <n v="0"/>
    <x v="5"/>
    <x v="5"/>
    <x v="5"/>
    <x v="2"/>
    <x v="0"/>
    <n v="0"/>
    <x v="0"/>
    <n v="0"/>
    <n v="0"/>
    <x v="0"/>
    <n v="0"/>
    <n v="0"/>
    <x v="0"/>
    <n v="0"/>
    <n v="0"/>
  </r>
  <r>
    <s v="DTC018"/>
    <s v="Department Assistant II - TEMP"/>
    <m/>
    <m/>
    <m/>
    <x v="6"/>
    <x v="0"/>
    <x v="4"/>
    <x v="0"/>
    <x v="1"/>
    <x v="1"/>
    <x v="1"/>
    <x v="4"/>
    <s v="11BAE5"/>
    <x v="1"/>
    <x v="4"/>
    <x v="1"/>
    <x v="4"/>
    <x v="0"/>
    <x v="4"/>
    <m/>
    <n v="0"/>
    <n v="0"/>
    <n v="0"/>
    <x v="5"/>
    <x v="5"/>
    <x v="5"/>
    <x v="2"/>
    <x v="0"/>
    <n v="0"/>
    <x v="0"/>
    <n v="0"/>
    <n v="0"/>
    <x v="0"/>
    <n v="0"/>
    <n v="0"/>
    <x v="0"/>
    <n v="0"/>
    <n v="0"/>
  </r>
  <r>
    <s v="BMC531"/>
    <s v="Educational Trainer"/>
    <s v="@00003639"/>
    <s v="Casagrande, Richard M."/>
    <s v="490"/>
    <x v="12"/>
    <x v="0"/>
    <x v="5"/>
    <x v="0"/>
    <x v="0"/>
    <x v="0"/>
    <x v="0"/>
    <x v="5"/>
    <s v="11BBC3"/>
    <x v="1"/>
    <x v="0"/>
    <x v="1"/>
    <x v="0"/>
    <x v="0"/>
    <x v="0"/>
    <n v="90872.065199999997"/>
    <n v="90872.065199999997"/>
    <n v="47404.687746547104"/>
    <n v="138276.75294654712"/>
    <x v="0"/>
    <x v="0"/>
    <x v="0"/>
    <x v="0"/>
    <x v="0"/>
    <n v="1781.09247792"/>
    <x v="0"/>
    <n v="1317.6449454000001"/>
    <n v="895.81681874160006"/>
    <x v="0"/>
    <n v="653.40000000000009"/>
    <n v="45.436032599999997"/>
    <x v="0"/>
    <n v="5634.0680424000002"/>
    <n v="18810.5174964"/>
  </r>
  <r>
    <s v="DMC148"/>
    <s v="Department Assistant III"/>
    <m/>
    <m/>
    <m/>
    <x v="6"/>
    <x v="0"/>
    <x v="0"/>
    <x v="0"/>
    <x v="1"/>
    <x v="1"/>
    <x v="1"/>
    <x v="5"/>
    <s v="11BBC3"/>
    <x v="1"/>
    <x v="0"/>
    <x v="1"/>
    <x v="0"/>
    <x v="0"/>
    <x v="0"/>
    <n v="0"/>
    <n v="0"/>
    <n v="0"/>
    <n v="0"/>
    <x v="2"/>
    <x v="2"/>
    <x v="2"/>
    <x v="2"/>
    <x v="0"/>
    <n v="0"/>
    <x v="0"/>
    <n v="0"/>
    <n v="0"/>
    <x v="0"/>
    <n v="0"/>
    <n v="0"/>
    <x v="0"/>
    <n v="0"/>
    <n v="0"/>
  </r>
  <r>
    <s v="DMC149"/>
    <s v="Workforce Prep Assistant"/>
    <s v="@00453302"/>
    <s v="Lopez, Betsaira"/>
    <s v="425"/>
    <x v="13"/>
    <x v="0"/>
    <x v="0"/>
    <x v="0"/>
    <x v="0"/>
    <x v="0"/>
    <x v="0"/>
    <x v="5"/>
    <s v="11BBC3"/>
    <x v="1"/>
    <x v="0"/>
    <x v="1"/>
    <x v="0"/>
    <x v="0"/>
    <x v="3"/>
    <n v="49015.519499999995"/>
    <n v="24507.759749999997"/>
    <n v="17058.136143783249"/>
    <n v="41565.89589378325"/>
    <x v="1"/>
    <x v="1"/>
    <x v="1"/>
    <x v="1"/>
    <x v="0"/>
    <n v="480.35209109999994"/>
    <x v="0"/>
    <n v="355.36251637499998"/>
    <n v="241.59749561549998"/>
    <x v="0"/>
    <n v="242.626821525"/>
    <n v="12.253879874999999"/>
    <x v="0"/>
    <n v="1519.4811044999999"/>
    <n v="5073.1062682499996"/>
  </r>
  <r>
    <s v="DMC154"/>
    <s v="Computer Lab Assistant"/>
    <m/>
    <m/>
    <m/>
    <x v="6"/>
    <x v="0"/>
    <x v="6"/>
    <x v="0"/>
    <x v="2"/>
    <x v="1"/>
    <x v="1"/>
    <x v="5"/>
    <s v="11BBC3"/>
    <x v="1"/>
    <x v="0"/>
    <x v="1"/>
    <x v="0"/>
    <x v="0"/>
    <x v="3"/>
    <n v="18188.187000000002"/>
    <n v="9094.0935000000009"/>
    <n v="899.02389522300007"/>
    <n v="9993.1173952230001"/>
    <x v="5"/>
    <x v="5"/>
    <x v="5"/>
    <x v="5"/>
    <x v="0"/>
    <m/>
    <x v="2"/>
    <n v="131.86435575000002"/>
    <n v="89.649573723000017"/>
    <x v="0"/>
    <m/>
    <n v="4.5470467500000007"/>
    <x v="0"/>
    <m/>
    <m/>
  </r>
  <r>
    <s v="DMN036"/>
    <s v="Dir, Bus Entrepreneurship Cnt"/>
    <m/>
    <m/>
    <m/>
    <x v="6"/>
    <x v="1"/>
    <x v="1"/>
    <x v="0"/>
    <x v="1"/>
    <x v="1"/>
    <x v="1"/>
    <x v="6"/>
    <s v="11BBC6"/>
    <x v="1"/>
    <x v="1"/>
    <x v="1"/>
    <x v="0"/>
    <x v="0"/>
    <x v="4"/>
    <m/>
    <n v="0"/>
    <n v="0"/>
    <n v="0"/>
    <x v="5"/>
    <x v="5"/>
    <x v="5"/>
    <x v="2"/>
    <x v="0"/>
    <n v="0"/>
    <x v="0"/>
    <n v="0"/>
    <n v="0"/>
    <x v="0"/>
    <n v="0"/>
    <n v="0"/>
    <x v="0"/>
    <n v="0"/>
    <n v="0"/>
  </r>
  <r>
    <s v="DMC149"/>
    <s v="Workforce Prep Assistant"/>
    <s v="@00453302"/>
    <s v="Lopez, Betsaira"/>
    <s v="425"/>
    <x v="13"/>
    <x v="0"/>
    <x v="0"/>
    <x v="0"/>
    <x v="0"/>
    <x v="0"/>
    <x v="0"/>
    <x v="7"/>
    <s v="11BCR1"/>
    <x v="1"/>
    <x v="0"/>
    <x v="1"/>
    <x v="0"/>
    <x v="0"/>
    <x v="3"/>
    <n v="49015.519499999995"/>
    <n v="24507.759749999997"/>
    <n v="17058.136143783249"/>
    <n v="41565.89589378325"/>
    <x v="1"/>
    <x v="1"/>
    <x v="1"/>
    <x v="1"/>
    <x v="0"/>
    <n v="480.35209109999994"/>
    <x v="0"/>
    <n v="355.36251637499998"/>
    <n v="241.59749561549998"/>
    <x v="0"/>
    <n v="242.626821525"/>
    <n v="12.253879874999999"/>
    <x v="0"/>
    <n v="1519.4811044999999"/>
    <n v="5073.1062682499996"/>
  </r>
  <r>
    <s v="DMC154"/>
    <s v="Computer Lab Assistant"/>
    <m/>
    <m/>
    <m/>
    <x v="6"/>
    <x v="0"/>
    <x v="6"/>
    <x v="0"/>
    <x v="2"/>
    <x v="1"/>
    <x v="1"/>
    <x v="7"/>
    <s v="11BCR1"/>
    <x v="1"/>
    <x v="0"/>
    <x v="1"/>
    <x v="0"/>
    <x v="0"/>
    <x v="3"/>
    <n v="18188.187000000002"/>
    <n v="9094.0935000000009"/>
    <n v="899.02389522300007"/>
    <n v="9993.1173952230001"/>
    <x v="5"/>
    <x v="5"/>
    <x v="5"/>
    <x v="5"/>
    <x v="0"/>
    <m/>
    <x v="2"/>
    <n v="131.86435575000002"/>
    <n v="89.649573723000017"/>
    <x v="0"/>
    <m/>
    <n v="4.5470467500000007"/>
    <x v="0"/>
    <m/>
    <m/>
  </r>
  <r>
    <s v="DMC166"/>
    <s v="Workforce Prep Assistant"/>
    <s v="@00064745"/>
    <s v="Beed, Anna B."/>
    <s v="425"/>
    <x v="7"/>
    <x v="0"/>
    <x v="0"/>
    <x v="0"/>
    <x v="0"/>
    <x v="0"/>
    <x v="0"/>
    <x v="8"/>
    <s v="11BSW1"/>
    <x v="1"/>
    <x v="5"/>
    <x v="1"/>
    <x v="0"/>
    <x v="0"/>
    <x v="9"/>
    <n v="51496.939899999954"/>
    <n v="2574.8469949999981"/>
    <n v="1745.9329712634844"/>
    <n v="4320.7799662634825"/>
    <x v="10"/>
    <x v="10"/>
    <x v="10"/>
    <x v="10"/>
    <x v="0"/>
    <n v="50.467001101999962"/>
    <x v="0"/>
    <n v="37.335281427499972"/>
    <n v="25.382841676709983"/>
    <x v="0"/>
    <n v="25.490985250499982"/>
    <n v="1.287423497499999"/>
    <x v="0"/>
    <n v="159.64051368999989"/>
    <n v="532.99332796499959"/>
  </r>
  <r>
    <s v="DMC166"/>
    <s v="Workforce Prep Assistant"/>
    <s v="@00064745"/>
    <s v="Beed, Anna B."/>
    <s v="425"/>
    <x v="7"/>
    <x v="0"/>
    <x v="0"/>
    <x v="0"/>
    <x v="0"/>
    <x v="0"/>
    <x v="0"/>
    <x v="9"/>
    <s v="11BSW2"/>
    <x v="1"/>
    <x v="5"/>
    <x v="1"/>
    <x v="0"/>
    <x v="0"/>
    <x v="9"/>
    <n v="51496.939899999954"/>
    <n v="2574.8469949999981"/>
    <n v="1745.9329712634844"/>
    <n v="4320.7799662634825"/>
    <x v="10"/>
    <x v="10"/>
    <x v="10"/>
    <x v="10"/>
    <x v="0"/>
    <n v="50.467001101999962"/>
    <x v="0"/>
    <n v="37.335281427499972"/>
    <n v="25.382841676709983"/>
    <x v="0"/>
    <n v="25.490985250499982"/>
    <n v="1.287423497499999"/>
    <x v="0"/>
    <n v="159.64051368999989"/>
    <n v="532.99332796499959"/>
  </r>
  <r>
    <s v="DMC166"/>
    <s v="Workforce Prep Assistant"/>
    <s v="@00064745"/>
    <s v="Beed, Anna B."/>
    <s v="425"/>
    <x v="7"/>
    <x v="0"/>
    <x v="0"/>
    <x v="0"/>
    <x v="0"/>
    <x v="0"/>
    <x v="0"/>
    <x v="7"/>
    <s v="11BCR1"/>
    <x v="1"/>
    <x v="0"/>
    <x v="1"/>
    <x v="0"/>
    <x v="0"/>
    <x v="10"/>
    <n v="51496.939899999954"/>
    <n v="15449.081969999985"/>
    <n v="10475.597827580903"/>
    <n v="25924.679797580888"/>
    <x v="11"/>
    <x v="11"/>
    <x v="11"/>
    <x v="11"/>
    <x v="0"/>
    <n v="302.80200661199967"/>
    <x v="0"/>
    <n v="224.01168856499979"/>
    <n v="152.29705006025986"/>
    <x v="0"/>
    <n v="152.94591150299985"/>
    <n v="7.7245409849999929"/>
    <x v="0"/>
    <n v="957.84308213999907"/>
    <n v="3197.9599677899969"/>
  </r>
  <r>
    <s v="DMN043"/>
    <s v="Director, Clean Energy Center"/>
    <s v="@00412898"/>
    <s v="Teasdale, David G."/>
    <s v="J"/>
    <x v="8"/>
    <x v="1"/>
    <x v="1"/>
    <x v="0"/>
    <x v="0"/>
    <x v="0"/>
    <x v="0"/>
    <x v="5"/>
    <s v="11BBC3"/>
    <x v="1"/>
    <x v="1"/>
    <x v="1"/>
    <x v="0"/>
    <x v="0"/>
    <x v="9"/>
    <n v="144210.15"/>
    <n v="7210.5074999999997"/>
    <n v="3171.1353915892751"/>
    <n v="10381.642891589276"/>
    <x v="10"/>
    <x v="10"/>
    <x v="10"/>
    <x v="10"/>
    <x v="0"/>
    <n v="141.32594699999999"/>
    <x v="0"/>
    <n v="104.55235875"/>
    <n v="71.081182935000001"/>
    <x v="0"/>
    <n v="32.670000000000009"/>
    <n v="3.6052537500000001"/>
    <x v="0"/>
    <n v="411.99"/>
    <n v="1492.5750524999999"/>
  </r>
  <r>
    <s v="DMN043"/>
    <s v="Director, Clean Energy Center"/>
    <s v="@00412898"/>
    <s v="Teasdale, David G."/>
    <s v="J"/>
    <x v="8"/>
    <x v="1"/>
    <x v="1"/>
    <x v="0"/>
    <x v="0"/>
    <x v="0"/>
    <x v="0"/>
    <x v="8"/>
    <s v="11BSW1"/>
    <x v="1"/>
    <x v="1"/>
    <x v="1"/>
    <x v="0"/>
    <x v="0"/>
    <x v="11"/>
    <n v="144210.15"/>
    <n v="10815.76125"/>
    <n v="4756.7030873839121"/>
    <n v="15572.464337383912"/>
    <x v="12"/>
    <x v="12"/>
    <x v="12"/>
    <x v="12"/>
    <x v="0"/>
    <n v="211.98892049999998"/>
    <x v="0"/>
    <n v="156.82853812499999"/>
    <n v="106.62177440249999"/>
    <x v="0"/>
    <n v="49.005000000000003"/>
    <n v="5.4078806249999998"/>
    <x v="0"/>
    <n v="617.9849999999999"/>
    <n v="2238.86257875"/>
  </r>
  <r>
    <s v="DMN043"/>
    <s v="Director, Clean Energy Center"/>
    <s v="@00412898"/>
    <s v="Teasdale, David G."/>
    <s v="J"/>
    <x v="8"/>
    <x v="1"/>
    <x v="1"/>
    <x v="0"/>
    <x v="0"/>
    <x v="0"/>
    <x v="0"/>
    <x v="9"/>
    <s v="11BSW2"/>
    <x v="1"/>
    <x v="1"/>
    <x v="1"/>
    <x v="0"/>
    <x v="0"/>
    <x v="11"/>
    <n v="144210.15"/>
    <n v="10815.76125"/>
    <n v="4756.7030873839121"/>
    <n v="15572.464337383912"/>
    <x v="12"/>
    <x v="12"/>
    <x v="12"/>
    <x v="12"/>
    <x v="0"/>
    <n v="211.98892049999998"/>
    <x v="0"/>
    <n v="156.82853812499999"/>
    <n v="106.62177440249999"/>
    <x v="0"/>
    <n v="49.005000000000003"/>
    <n v="5.4078806249999998"/>
    <x v="0"/>
    <n v="617.9849999999999"/>
    <n v="2238.86257875"/>
  </r>
  <r>
    <s v="DMN043"/>
    <s v="Director, Clean Energy Center"/>
    <s v="@00412898"/>
    <s v="Teasdale, David G."/>
    <s v="J"/>
    <x v="8"/>
    <x v="1"/>
    <x v="1"/>
    <x v="0"/>
    <x v="0"/>
    <x v="0"/>
    <x v="0"/>
    <x v="7"/>
    <s v="11BCR1"/>
    <x v="1"/>
    <x v="1"/>
    <x v="1"/>
    <x v="0"/>
    <x v="0"/>
    <x v="2"/>
    <n v="144210.15"/>
    <n v="57684.06"/>
    <n v="25369.0831327142"/>
    <n v="83053.143132714205"/>
    <x v="4"/>
    <x v="4"/>
    <x v="4"/>
    <x v="4"/>
    <x v="0"/>
    <n v="1130.6075759999999"/>
    <x v="0"/>
    <n v="836.41886999999997"/>
    <n v="568.64946348000001"/>
    <x v="0"/>
    <n v="261.36000000000007"/>
    <n v="28.842030000000001"/>
    <x v="0"/>
    <n v="3295.92"/>
    <n v="11940.600419999999"/>
  </r>
  <r>
    <s v="DMN056"/>
    <s v="Training Manager - COF"/>
    <s v="@00484050"/>
    <s v="Elliott, William"/>
    <s v="G"/>
    <x v="9"/>
    <x v="1"/>
    <x v="1"/>
    <x v="0"/>
    <x v="0"/>
    <x v="0"/>
    <x v="0"/>
    <x v="7"/>
    <s v="11BCR1"/>
    <x v="1"/>
    <x v="1"/>
    <x v="1"/>
    <x v="0"/>
    <x v="0"/>
    <x v="3"/>
    <n v="96517.23"/>
    <n v="48258.614999999998"/>
    <n v="24587.10490721275"/>
    <n v="72845.719907212741"/>
    <x v="1"/>
    <x v="1"/>
    <x v="1"/>
    <x v="1"/>
    <x v="0"/>
    <n v="945.86885399999994"/>
    <x v="0"/>
    <n v="699.74991750000004"/>
    <n v="475.73342667000003"/>
    <x v="0"/>
    <n v="326.70000000000005"/>
    <n v="24.129307499999999"/>
    <x v="0"/>
    <n v="2992.03413"/>
    <n v="9989.533304999999"/>
  </r>
  <r>
    <s v="DMC171"/>
    <s v="Institutional Research Analyst"/>
    <s v="@00283123"/>
    <s v="Pena, Velda E."/>
    <s v="500"/>
    <x v="0"/>
    <x v="0"/>
    <x v="0"/>
    <x v="0"/>
    <x v="0"/>
    <x v="0"/>
    <x v="3"/>
    <x v="10"/>
    <s v="512WR3"/>
    <x v="1"/>
    <x v="0"/>
    <x v="1"/>
    <x v="5"/>
    <x v="0"/>
    <x v="12"/>
    <n v="76447.318749999991"/>
    <n v="12613.80759375"/>
    <n v="7075.7173696807949"/>
    <n v="19689.524963430795"/>
    <x v="13"/>
    <x v="13"/>
    <x v="13"/>
    <x v="13"/>
    <x v="0"/>
    <n v="247.23062883749998"/>
    <x v="0"/>
    <n v="182.900210109375"/>
    <n v="124.3469152591875"/>
    <x v="0"/>
    <n v="107.81100000000002"/>
    <n v="6.3069037968749999"/>
    <x v="0"/>
    <n v="782.05607081250002"/>
    <n v="2611.0581719062498"/>
  </r>
  <r>
    <s v="DMC171"/>
    <s v="Institutional Research Analyst"/>
    <s v="@00283123"/>
    <s v="Pena, Velda E."/>
    <s v="500"/>
    <x v="0"/>
    <x v="0"/>
    <x v="0"/>
    <x v="0"/>
    <x v="0"/>
    <x v="0"/>
    <x v="3"/>
    <x v="10"/>
    <s v="512WR4"/>
    <x v="1"/>
    <x v="0"/>
    <x v="1"/>
    <x v="5"/>
    <x v="0"/>
    <x v="12"/>
    <n v="76447.318749999991"/>
    <n v="12613.80759375"/>
    <n v="7075.7173696807949"/>
    <n v="19689.524963430795"/>
    <x v="13"/>
    <x v="13"/>
    <x v="13"/>
    <x v="13"/>
    <x v="0"/>
    <n v="247.23062883749998"/>
    <x v="0"/>
    <n v="182.900210109375"/>
    <n v="124.3469152591875"/>
    <x v="0"/>
    <n v="107.81100000000002"/>
    <n v="6.3069037968749999"/>
    <x v="0"/>
    <n v="782.05607081250002"/>
    <n v="2611.0581719062498"/>
  </r>
  <r>
    <s v="DMC171"/>
    <s v="Institutional Research Analyst"/>
    <s v="@00283123"/>
    <s v="Pena, Velda E."/>
    <s v="500"/>
    <x v="0"/>
    <x v="0"/>
    <x v="0"/>
    <x v="0"/>
    <x v="0"/>
    <x v="0"/>
    <x v="3"/>
    <x v="10"/>
    <s v="411WR3"/>
    <x v="1"/>
    <x v="0"/>
    <x v="1"/>
    <x v="5"/>
    <x v="0"/>
    <x v="12"/>
    <n v="76447.318749999991"/>
    <n v="12613.80759375"/>
    <n v="7075.7173696807949"/>
    <n v="19689.524963430795"/>
    <x v="13"/>
    <x v="13"/>
    <x v="13"/>
    <x v="13"/>
    <x v="0"/>
    <n v="247.23062883749998"/>
    <x v="0"/>
    <n v="182.900210109375"/>
    <n v="124.3469152591875"/>
    <x v="0"/>
    <n v="107.81100000000002"/>
    <n v="6.3069037968749999"/>
    <x v="0"/>
    <n v="782.05607081250002"/>
    <n v="2611.0581719062498"/>
  </r>
  <r>
    <s v="DMC171"/>
    <s v="Institutional Research Analyst"/>
    <s v="@00283123"/>
    <s v="Pena, Velda E."/>
    <s v="500"/>
    <x v="0"/>
    <x v="0"/>
    <x v="0"/>
    <x v="0"/>
    <x v="0"/>
    <x v="0"/>
    <x v="3"/>
    <x v="10"/>
    <s v="411WR4"/>
    <x v="1"/>
    <x v="0"/>
    <x v="1"/>
    <x v="5"/>
    <x v="0"/>
    <x v="12"/>
    <n v="76447.318749999991"/>
    <n v="12613.80759375"/>
    <n v="7075.7173696807949"/>
    <n v="19689.524963430795"/>
    <x v="13"/>
    <x v="13"/>
    <x v="13"/>
    <x v="13"/>
    <x v="0"/>
    <n v="247.23062883749998"/>
    <x v="0"/>
    <n v="182.900210109375"/>
    <n v="124.3469152591875"/>
    <x v="0"/>
    <n v="107.81100000000002"/>
    <n v="6.3069037968749999"/>
    <x v="0"/>
    <n v="782.05607081250002"/>
    <n v="2611.0581719062498"/>
  </r>
  <r>
    <s v="DMC171"/>
    <s v="Institutional Research Analyst"/>
    <s v="@00283123"/>
    <s v="Pena, Velda E."/>
    <s v="500"/>
    <x v="0"/>
    <x v="0"/>
    <x v="0"/>
    <x v="0"/>
    <x v="0"/>
    <x v="0"/>
    <x v="4"/>
    <x v="10"/>
    <s v="21AWR4"/>
    <x v="1"/>
    <x v="0"/>
    <x v="1"/>
    <x v="5"/>
    <x v="0"/>
    <x v="13"/>
    <n v="76447.318749999991"/>
    <n v="25992.088374999999"/>
    <n v="14580.26609509982"/>
    <n v="40572.354470099817"/>
    <x v="14"/>
    <x v="14"/>
    <x v="14"/>
    <x v="14"/>
    <x v="0"/>
    <n v="509.44493214999994"/>
    <x v="0"/>
    <n v="376.8852814375"/>
    <n v="256.23000720074998"/>
    <x v="0"/>
    <n v="222.15600000000003"/>
    <n v="12.996044187500001"/>
    <x v="0"/>
    <n v="1611.5094792499999"/>
    <n v="5380.3622936249994"/>
  </r>
  <r>
    <s v="BEC018"/>
    <s v="Administrative Assistant"/>
    <s v="@00058294"/>
    <s v="Horton, Genevieve T."/>
    <s v="445"/>
    <x v="9"/>
    <x v="0"/>
    <x v="0"/>
    <x v="0"/>
    <x v="0"/>
    <x v="0"/>
    <x v="0"/>
    <x v="0"/>
    <s v="11BWD1"/>
    <x v="1"/>
    <x v="0"/>
    <x v="1"/>
    <x v="0"/>
    <x v="0"/>
    <x v="3"/>
    <n v="59720.639999999999"/>
    <n v="29860.32"/>
    <n v="18788.929321102751"/>
    <n v="48649.249321102747"/>
    <x v="1"/>
    <x v="1"/>
    <x v="1"/>
    <x v="1"/>
    <x v="0"/>
    <n v="585.26227199999994"/>
    <x v="0"/>
    <n v="432.97464000000002"/>
    <n v="294.36303456000002"/>
    <x v="0"/>
    <n v="295.61716800000005"/>
    <n v="14.930160000000001"/>
    <x v="0"/>
    <n v="1851.3398399999999"/>
    <n v="6181.0862399999996"/>
  </r>
  <r>
    <s v="DMM027"/>
    <s v="Assoc Vice Chan -Comm,Econ,WF"/>
    <s v="@00709065"/>
    <s v="Gerald, Gertrude G."/>
    <s v="L"/>
    <x v="11"/>
    <x v="1"/>
    <x v="3"/>
    <x v="0"/>
    <x v="0"/>
    <x v="0"/>
    <x v="0"/>
    <x v="0"/>
    <s v="11BWD1"/>
    <x v="1"/>
    <x v="3"/>
    <x v="0"/>
    <x v="0"/>
    <x v="0"/>
    <x v="3"/>
    <n v="164225.01"/>
    <n v="82112.505000000005"/>
    <n v="34227.802248832748"/>
    <n v="116340.30724883275"/>
    <x v="1"/>
    <x v="1"/>
    <x v="1"/>
    <x v="1"/>
    <x v="0"/>
    <n v="1609.405098"/>
    <x v="0"/>
    <n v="1190.6313225000001"/>
    <n v="809.46507429000008"/>
    <x v="0"/>
    <n v="326.70000000000005"/>
    <n v="41.056252500000006"/>
    <x v="0"/>
    <n v="4119.8999999999996"/>
    <n v="16997.288535"/>
  </r>
  <r>
    <s v="DMM027"/>
    <s v="Assoc Vice Chan -Comm,Econ,WF"/>
    <s v="@00709065"/>
    <s v="Gerald, Gertrude G."/>
    <s v="L"/>
    <x v="11"/>
    <x v="1"/>
    <x v="3"/>
    <x v="0"/>
    <x v="0"/>
    <x v="0"/>
    <x v="0"/>
    <x v="4"/>
    <s v="11BWD1"/>
    <x v="1"/>
    <x v="3"/>
    <x v="0"/>
    <x v="0"/>
    <x v="0"/>
    <x v="3"/>
    <n v="164225.01"/>
    <n v="82112.505000000005"/>
    <n v="34227.802248832748"/>
    <n v="116340.30724883275"/>
    <x v="1"/>
    <x v="1"/>
    <x v="1"/>
    <x v="1"/>
    <x v="0"/>
    <n v="1609.405098"/>
    <x v="0"/>
    <n v="1190.6313225000001"/>
    <n v="809.46507429000008"/>
    <x v="0"/>
    <n v="326.70000000000005"/>
    <n v="41.056252500000006"/>
    <x v="0"/>
    <n v="4119.8999999999996"/>
    <n v="16997.288535"/>
  </r>
  <r>
    <s v="DML004"/>
    <s v="Business Services Assistant"/>
    <s v="@00367200"/>
    <s v="Durham, Jana P."/>
    <s v="C"/>
    <x v="10"/>
    <x v="1"/>
    <x v="2"/>
    <x v="0"/>
    <x v="0"/>
    <x v="0"/>
    <x v="0"/>
    <x v="0"/>
    <s v="120BS0"/>
    <x v="2"/>
    <x v="2"/>
    <x v="2"/>
    <x v="0"/>
    <x v="0"/>
    <x v="0"/>
    <n v="77312"/>
    <n v="77312"/>
    <n v="43154.176829085496"/>
    <n v="120466.1768290855"/>
    <x v="0"/>
    <x v="0"/>
    <x v="0"/>
    <x v="0"/>
    <x v="0"/>
    <n v="1515.3152"/>
    <x v="0"/>
    <n v="1121.0240000000001"/>
    <n v="762.14169600000002"/>
    <x v="0"/>
    <n v="653.40000000000009"/>
    <n v="38.655999999999999"/>
    <x v="0"/>
    <n v="4793.3440000000001"/>
    <n v="16003.583999999999"/>
  </r>
  <r>
    <s v="DMN005"/>
    <s v="Dir, Accounting Services"/>
    <s v="@00567102"/>
    <s v="Feichter, Carlene L."/>
    <s v="K"/>
    <x v="11"/>
    <x v="1"/>
    <x v="1"/>
    <x v="0"/>
    <x v="0"/>
    <x v="0"/>
    <x v="0"/>
    <x v="0"/>
    <s v="120BS0"/>
    <x v="2"/>
    <x v="1"/>
    <x v="2"/>
    <x v="0"/>
    <x v="0"/>
    <x v="0"/>
    <n v="142169.29"/>
    <n v="142169.29"/>
    <n v="62909.5172579055"/>
    <n v="205078.80725790552"/>
    <x v="0"/>
    <x v="0"/>
    <x v="0"/>
    <x v="0"/>
    <x v="0"/>
    <n v="2786.5180840000003"/>
    <x v="0"/>
    <n v="2061.4547050000001"/>
    <n v="1401.5048608200002"/>
    <x v="0"/>
    <n v="653.40000000000009"/>
    <n v="71.084645000000009"/>
    <x v="0"/>
    <n v="8239.7999999999993"/>
    <n v="29429.043030000001"/>
  </r>
  <r>
    <s v="DTC046"/>
    <s v="Administrative Assistant Temp"/>
    <s v="@00522367"/>
    <s v="Kemp, Alexandria J."/>
    <s v="445"/>
    <x v="5"/>
    <x v="0"/>
    <x v="4"/>
    <x v="0"/>
    <x v="1"/>
    <x v="0"/>
    <x v="2"/>
    <x v="0"/>
    <s v="120BS0"/>
    <x v="2"/>
    <x v="4"/>
    <x v="2"/>
    <x v="0"/>
    <x v="0"/>
    <x v="0"/>
    <m/>
    <n v="0"/>
    <n v="0"/>
    <n v="0"/>
    <x v="5"/>
    <x v="5"/>
    <x v="5"/>
    <x v="5"/>
    <x v="0"/>
    <n v="0"/>
    <x v="0"/>
    <n v="0"/>
    <n v="0"/>
    <x v="0"/>
    <n v="0"/>
    <n v="0"/>
    <x v="0"/>
    <n v="0"/>
    <n v="0"/>
  </r>
  <r>
    <s v="New Position"/>
    <s v="Budget Analyst"/>
    <m/>
    <m/>
    <s v="G"/>
    <x v="5"/>
    <x v="1"/>
    <x v="1"/>
    <x v="0"/>
    <x v="0"/>
    <x v="0"/>
    <x v="0"/>
    <x v="0"/>
    <s v="120BS0"/>
    <x v="2"/>
    <x v="6"/>
    <x v="3"/>
    <x v="0"/>
    <x v="0"/>
    <x v="4"/>
    <n v="0"/>
    <n v="0"/>
    <n v="0"/>
    <n v="0"/>
    <x v="2"/>
    <x v="2"/>
    <x v="2"/>
    <x v="2"/>
    <x v="0"/>
    <n v="0"/>
    <x v="0"/>
    <n v="0"/>
    <n v="0"/>
    <x v="0"/>
    <n v="0"/>
    <n v="0"/>
    <x v="0"/>
    <n v="0"/>
    <n v="0"/>
  </r>
  <r>
    <s v="DMC123"/>
    <s v="Purchasing Coordinator/Analyst"/>
    <s v="@00296579"/>
    <s v="Fore, Raquel D."/>
    <s v="490"/>
    <x v="7"/>
    <x v="0"/>
    <x v="0"/>
    <x v="0"/>
    <x v="0"/>
    <x v="0"/>
    <x v="0"/>
    <x v="0"/>
    <s v="120BS1"/>
    <x v="2"/>
    <x v="0"/>
    <x v="2"/>
    <x v="0"/>
    <x v="0"/>
    <x v="0"/>
    <n v="70989.119999999995"/>
    <n v="70989.119999999995"/>
    <n v="41172.219510045492"/>
    <n v="112161.33951004548"/>
    <x v="0"/>
    <x v="0"/>
    <x v="0"/>
    <x v="0"/>
    <x v="0"/>
    <n v="1391.3867519999999"/>
    <x v="0"/>
    <n v="1029.3422399999999"/>
    <n v="699.81074495999997"/>
    <x v="0"/>
    <n v="653.40000000000009"/>
    <n v="35.49456"/>
    <x v="0"/>
    <n v="4401.3254399999996"/>
    <n v="14694.747839999998"/>
  </r>
  <r>
    <s v="DMN071"/>
    <s v="Purchasing &amp; Contracts Manager"/>
    <s v="@00511882"/>
    <s v="Ehret-Stevens, Cammie"/>
    <s v="F"/>
    <x v="13"/>
    <x v="1"/>
    <x v="1"/>
    <x v="0"/>
    <x v="0"/>
    <x v="0"/>
    <x v="0"/>
    <x v="0"/>
    <s v="120BS1"/>
    <x v="2"/>
    <x v="1"/>
    <x v="2"/>
    <x v="0"/>
    <x v="0"/>
    <x v="0"/>
    <n v="83894.68"/>
    <n v="83894.68"/>
    <n v="45217.570536525498"/>
    <n v="129112.25053652549"/>
    <x v="0"/>
    <x v="0"/>
    <x v="0"/>
    <x v="0"/>
    <x v="0"/>
    <n v="1644.3357279999998"/>
    <x v="0"/>
    <n v="1216.4728599999999"/>
    <n v="827.03375543999994"/>
    <x v="0"/>
    <n v="653.40000000000009"/>
    <n v="41.947339999999997"/>
    <x v="0"/>
    <n v="5201.4701599999999"/>
    <n v="17366.198759999999"/>
  </r>
  <r>
    <s v="DMC020"/>
    <s v="Accounting Coordinator"/>
    <s v="@00603122"/>
    <s v="Heredia, Enrique L."/>
    <s v="465"/>
    <x v="7"/>
    <x v="0"/>
    <x v="0"/>
    <x v="0"/>
    <x v="0"/>
    <x v="0"/>
    <x v="0"/>
    <x v="0"/>
    <s v="122BS2"/>
    <x v="2"/>
    <x v="0"/>
    <x v="2"/>
    <x v="0"/>
    <x v="0"/>
    <x v="0"/>
    <n v="62744.04"/>
    <n v="62744.04"/>
    <n v="38555.499219405494"/>
    <n v="101299.5392194055"/>
    <x v="0"/>
    <x v="0"/>
    <x v="0"/>
    <x v="0"/>
    <x v="0"/>
    <n v="1229.7831839999999"/>
    <x v="0"/>
    <n v="909.78858000000002"/>
    <n v="618.53074632000005"/>
    <x v="0"/>
    <n v="621.16599600000006"/>
    <n v="31.372020000000003"/>
    <x v="0"/>
    <n v="3890.1304799999998"/>
    <n v="12988.01628"/>
  </r>
  <r>
    <s v="DMC120"/>
    <s v="Accounting Coordinator"/>
    <m/>
    <s v="Vacant"/>
    <s v="465"/>
    <x v="5"/>
    <x v="0"/>
    <x v="0"/>
    <x v="0"/>
    <x v="0"/>
    <x v="0"/>
    <x v="0"/>
    <x v="0"/>
    <s v="122BS2"/>
    <x v="2"/>
    <x v="0"/>
    <x v="2"/>
    <x v="0"/>
    <x v="0"/>
    <x v="4"/>
    <n v="0"/>
    <n v="0"/>
    <n v="0"/>
    <n v="0"/>
    <x v="2"/>
    <x v="2"/>
    <x v="2"/>
    <x v="2"/>
    <x v="0"/>
    <n v="0"/>
    <x v="0"/>
    <n v="0"/>
    <n v="0"/>
    <x v="0"/>
    <n v="0"/>
    <n v="0"/>
    <x v="0"/>
    <n v="0"/>
    <n v="0"/>
  </r>
  <r>
    <s v="DMC150"/>
    <s v="Accounting Coordinator"/>
    <m/>
    <s v="Kevin's position"/>
    <m/>
    <x v="6"/>
    <x v="0"/>
    <x v="0"/>
    <x v="0"/>
    <x v="0"/>
    <x v="0"/>
    <x v="0"/>
    <x v="0"/>
    <s v="122BS2"/>
    <x v="2"/>
    <x v="0"/>
    <x v="2"/>
    <x v="0"/>
    <x v="0"/>
    <x v="0"/>
    <n v="58264.08"/>
    <n v="58264.08"/>
    <n v="37106.868313725499"/>
    <n v="95370.948313725501"/>
    <x v="0"/>
    <x v="0"/>
    <x v="0"/>
    <x v="0"/>
    <x v="0"/>
    <n v="1141.975968"/>
    <x v="0"/>
    <n v="844.82916000000012"/>
    <n v="574.36730064000005"/>
    <x v="0"/>
    <n v="576.81439200000011"/>
    <n v="29.13204"/>
    <x v="0"/>
    <n v="3612.3729600000001"/>
    <n v="12060.664559999999"/>
  </r>
  <r>
    <s v="DMC165"/>
    <s v="Accounting Coordinator"/>
    <s v="@00000238"/>
    <s v="Tutop, Zenaida F."/>
    <s v="465"/>
    <x v="14"/>
    <x v="0"/>
    <x v="0"/>
    <x v="0"/>
    <x v="0"/>
    <x v="0"/>
    <x v="0"/>
    <x v="0"/>
    <s v="122BS2"/>
    <x v="2"/>
    <x v="0"/>
    <x v="2"/>
    <x v="0"/>
    <x v="0"/>
    <x v="0"/>
    <n v="82325.64"/>
    <n v="82325.64"/>
    <n v="44725.742396205504"/>
    <n v="127051.3823962055"/>
    <x v="0"/>
    <x v="0"/>
    <x v="0"/>
    <x v="0"/>
    <x v="0"/>
    <n v="1613.5825439999999"/>
    <x v="0"/>
    <n v="1193.7217800000001"/>
    <n v="811.56615912000007"/>
    <x v="0"/>
    <n v="653.40000000000009"/>
    <n v="41.162820000000004"/>
    <x v="0"/>
    <n v="5104.1896799999995"/>
    <n v="17041.407479999998"/>
  </r>
  <r>
    <s v="DMN070"/>
    <s v="Accounting Manager"/>
    <s v="@00025957"/>
    <s v="Jacob, Cathi S."/>
    <s v="G"/>
    <x v="0"/>
    <x v="1"/>
    <x v="1"/>
    <x v="0"/>
    <x v="0"/>
    <x v="0"/>
    <x v="0"/>
    <x v="0"/>
    <s v="122BS2"/>
    <x v="2"/>
    <x v="1"/>
    <x v="2"/>
    <x v="0"/>
    <x v="0"/>
    <x v="0"/>
    <n v="94163.15"/>
    <n v="94163.15"/>
    <n v="48436.304605785503"/>
    <n v="142599.45460578549"/>
    <x v="0"/>
    <x v="0"/>
    <x v="0"/>
    <x v="0"/>
    <x v="0"/>
    <n v="1845.5977399999999"/>
    <x v="0"/>
    <n v="1365.365675"/>
    <n v="928.26033269999994"/>
    <x v="0"/>
    <n v="653.40000000000009"/>
    <n v="47.081575000000001"/>
    <x v="0"/>
    <n v="5838.1152999999995"/>
    <n v="19491.77205"/>
  </r>
  <r>
    <s v="DTC031"/>
    <s v="Accounting Coordinator - TEMP"/>
    <s v="@00030684"/>
    <s v="Batchelder, Ann"/>
    <s v="465"/>
    <x v="5"/>
    <x v="0"/>
    <x v="4"/>
    <x v="0"/>
    <x v="1"/>
    <x v="0"/>
    <x v="2"/>
    <x v="0"/>
    <s v="122BS2"/>
    <x v="2"/>
    <x v="4"/>
    <x v="2"/>
    <x v="0"/>
    <x v="0"/>
    <x v="4"/>
    <m/>
    <n v="0"/>
    <n v="0"/>
    <n v="0"/>
    <x v="5"/>
    <x v="5"/>
    <x v="5"/>
    <x v="2"/>
    <x v="0"/>
    <n v="0"/>
    <x v="0"/>
    <n v="0"/>
    <n v="0"/>
    <x v="0"/>
    <n v="0"/>
    <n v="0"/>
    <x v="0"/>
    <n v="0"/>
    <n v="0"/>
  </r>
  <r>
    <s v="DMC009"/>
    <s v="Accounting Technician II"/>
    <s v="@00456143"/>
    <s v="Zorrilla, Claribeth"/>
    <s v="410"/>
    <x v="13"/>
    <x v="0"/>
    <x v="0"/>
    <x v="0"/>
    <x v="0"/>
    <x v="0"/>
    <x v="0"/>
    <x v="0"/>
    <s v="122BS3"/>
    <x v="2"/>
    <x v="0"/>
    <x v="2"/>
    <x v="0"/>
    <x v="0"/>
    <x v="0"/>
    <n v="45515.76"/>
    <n v="45515.76"/>
    <n v="32984.597055165505"/>
    <n v="78500.357055165514"/>
    <x v="0"/>
    <x v="0"/>
    <x v="0"/>
    <x v="0"/>
    <x v="0"/>
    <n v="892.10889599999996"/>
    <x v="0"/>
    <n v="659.97852000000012"/>
    <n v="448.69436208000002"/>
    <x v="0"/>
    <n v="450.60602400000005"/>
    <n v="22.75788"/>
    <x v="0"/>
    <n v="2821.97712"/>
    <n v="9421.7623199999998"/>
  </r>
  <r>
    <s v="DMC025"/>
    <s v="Accounting Technician II"/>
    <s v="@00211959"/>
    <s v="Allen, Rachel R."/>
    <s v="410"/>
    <x v="4"/>
    <x v="0"/>
    <x v="0"/>
    <x v="0"/>
    <x v="0"/>
    <x v="0"/>
    <x v="0"/>
    <x v="0"/>
    <s v="122BS3"/>
    <x v="2"/>
    <x v="0"/>
    <x v="2"/>
    <x v="0"/>
    <x v="0"/>
    <x v="0"/>
    <n v="52784.4"/>
    <n v="52784.4"/>
    <n v="35334.969948285499"/>
    <n v="88119.369948285501"/>
    <x v="0"/>
    <x v="0"/>
    <x v="0"/>
    <x v="0"/>
    <x v="0"/>
    <n v="1034.5742399999999"/>
    <x v="0"/>
    <n v="765.37380000000007"/>
    <n v="520.34861520000004"/>
    <x v="0"/>
    <n v="522.56556"/>
    <n v="26.392200000000003"/>
    <x v="0"/>
    <n v="3272.6327999999999"/>
    <n v="10926.370800000001"/>
  </r>
  <r>
    <s v="DMC140"/>
    <s v="Accounting Technician II"/>
    <s v="@00714371"/>
    <s v="Geary, Camellia"/>
    <s v="410"/>
    <x v="7"/>
    <x v="0"/>
    <x v="0"/>
    <x v="0"/>
    <x v="0"/>
    <x v="0"/>
    <x v="0"/>
    <x v="0"/>
    <s v="122BS3"/>
    <x v="2"/>
    <x v="0"/>
    <x v="2"/>
    <x v="0"/>
    <x v="0"/>
    <x v="14"/>
    <n v="47820"/>
    <n v="35865"/>
    <n v="25297.268619814127"/>
    <n v="61162.268619814131"/>
    <x v="15"/>
    <x v="15"/>
    <x v="15"/>
    <x v="15"/>
    <x v="0"/>
    <n v="702.95399999999995"/>
    <x v="0"/>
    <n v="520.04250000000002"/>
    <n v="353.55717000000004"/>
    <x v="0"/>
    <n v="355.06350000000003"/>
    <n v="17.932500000000001"/>
    <x v="0"/>
    <n v="2223.63"/>
    <n v="7424.0549999999994"/>
  </r>
  <r>
    <s v="DMC140"/>
    <s v="Accounting Technician II"/>
    <s v="@00714371"/>
    <s v="Geary, Camellia"/>
    <s v="410"/>
    <x v="7"/>
    <x v="0"/>
    <x v="0"/>
    <x v="0"/>
    <x v="0"/>
    <x v="0"/>
    <x v="0"/>
    <x v="11"/>
    <s v="122BS3"/>
    <x v="2"/>
    <x v="0"/>
    <x v="2"/>
    <x v="0"/>
    <x v="0"/>
    <x v="15"/>
    <n v="47820"/>
    <n v="11955"/>
    <n v="8432.4228732713746"/>
    <n v="20387.422873271375"/>
    <x v="16"/>
    <x v="16"/>
    <x v="16"/>
    <x v="16"/>
    <x v="0"/>
    <n v="234.31799999999998"/>
    <x v="0"/>
    <n v="173.3475"/>
    <n v="117.85239"/>
    <x v="0"/>
    <n v="118.35450000000002"/>
    <n v="5.9775"/>
    <x v="0"/>
    <n v="741.21"/>
    <n v="2474.6849999999999"/>
  </r>
  <r>
    <s v="DMN004"/>
    <s v="Accounting Manager - BC"/>
    <s v="@00407862"/>
    <s v="Morales, Christine"/>
    <s v="G"/>
    <x v="8"/>
    <x v="1"/>
    <x v="1"/>
    <x v="0"/>
    <x v="0"/>
    <x v="0"/>
    <x v="0"/>
    <x v="0"/>
    <s v="122BS3"/>
    <x v="2"/>
    <x v="1"/>
    <x v="2"/>
    <x v="0"/>
    <x v="0"/>
    <x v="0"/>
    <n v="111930.39"/>
    <n v="111930.39"/>
    <n v="54005.588121705499"/>
    <n v="165935.9781217055"/>
    <x v="0"/>
    <x v="0"/>
    <x v="0"/>
    <x v="0"/>
    <x v="0"/>
    <n v="2193.8356439999998"/>
    <x v="0"/>
    <n v="1622.9906550000001"/>
    <n v="1103.40978462"/>
    <x v="0"/>
    <n v="653.40000000000009"/>
    <n v="55.965195000000001"/>
    <x v="0"/>
    <n v="6939.6841800000002"/>
    <n v="23169.59073"/>
  </r>
  <r>
    <s v="DSUB19"/>
    <s v="Classified Hourly-Substitute"/>
    <m/>
    <m/>
    <m/>
    <x v="6"/>
    <x v="0"/>
    <x v="4"/>
    <x v="0"/>
    <x v="1"/>
    <x v="1"/>
    <x v="1"/>
    <x v="0"/>
    <s v="122BS3"/>
    <x v="2"/>
    <x v="4"/>
    <x v="2"/>
    <x v="4"/>
    <x v="0"/>
    <x v="4"/>
    <m/>
    <n v="0"/>
    <n v="0"/>
    <n v="0"/>
    <x v="5"/>
    <x v="5"/>
    <x v="5"/>
    <x v="2"/>
    <x v="0"/>
    <n v="0"/>
    <x v="0"/>
    <n v="0"/>
    <n v="0"/>
    <x v="0"/>
    <n v="0"/>
    <n v="0"/>
    <x v="0"/>
    <n v="0"/>
    <n v="0"/>
  </r>
  <r>
    <s v="DTC034"/>
    <s v="Accounting Tech. II-TEMP"/>
    <s v="@00144488"/>
    <s v="Duffel, Debbie L."/>
    <s v="410"/>
    <x v="5"/>
    <x v="0"/>
    <x v="4"/>
    <x v="0"/>
    <x v="1"/>
    <x v="0"/>
    <x v="2"/>
    <x v="0"/>
    <s v="122BS3"/>
    <x v="2"/>
    <x v="4"/>
    <x v="2"/>
    <x v="0"/>
    <x v="0"/>
    <x v="4"/>
    <m/>
    <n v="0"/>
    <n v="0"/>
    <n v="0"/>
    <x v="5"/>
    <x v="5"/>
    <x v="5"/>
    <x v="2"/>
    <x v="0"/>
    <n v="0"/>
    <x v="0"/>
    <n v="0"/>
    <n v="0"/>
    <x v="0"/>
    <n v="0"/>
    <n v="0"/>
    <x v="0"/>
    <n v="0"/>
    <n v="0"/>
  </r>
  <r>
    <s v="DTN012"/>
    <s v="Manager, Accounting - INTERIM"/>
    <m/>
    <m/>
    <m/>
    <x v="6"/>
    <x v="1"/>
    <x v="1"/>
    <x v="0"/>
    <x v="1"/>
    <x v="1"/>
    <x v="1"/>
    <x v="0"/>
    <s v="122BS3"/>
    <x v="2"/>
    <x v="1"/>
    <x v="2"/>
    <x v="0"/>
    <x v="0"/>
    <x v="4"/>
    <m/>
    <n v="0"/>
    <n v="0"/>
    <n v="0"/>
    <x v="5"/>
    <x v="5"/>
    <x v="5"/>
    <x v="2"/>
    <x v="0"/>
    <n v="0"/>
    <x v="0"/>
    <n v="0"/>
    <n v="0"/>
    <x v="0"/>
    <n v="0"/>
    <n v="0"/>
    <x v="0"/>
    <n v="0"/>
    <n v="0"/>
  </r>
  <r>
    <s v="DMC012"/>
    <s v="Accounting Technician II"/>
    <s v="@00121146"/>
    <s v="Peters, Jacqueline D."/>
    <s v="410"/>
    <x v="1"/>
    <x v="0"/>
    <x v="0"/>
    <x v="0"/>
    <x v="0"/>
    <x v="0"/>
    <x v="0"/>
    <x v="0"/>
    <s v="122BS4"/>
    <x v="2"/>
    <x v="0"/>
    <x v="2"/>
    <x v="0"/>
    <x v="0"/>
    <x v="0"/>
    <n v="51496.92"/>
    <n v="51496.92"/>
    <n v="34918.652990445495"/>
    <n v="86415.572990445493"/>
    <x v="0"/>
    <x v="0"/>
    <x v="0"/>
    <x v="0"/>
    <x v="0"/>
    <n v="1009.3396319999999"/>
    <x v="0"/>
    <n v="746.70533999999998"/>
    <n v="507.65663735999999"/>
    <x v="0"/>
    <n v="509.81950800000004"/>
    <n v="25.748459999999998"/>
    <x v="0"/>
    <n v="3192.8090400000001"/>
    <n v="10659.862439999999"/>
  </r>
  <r>
    <s v="DMC092"/>
    <s v="Accounting Technician II"/>
    <s v="@00518959"/>
    <s v="Platas, Maria L."/>
    <s v="410"/>
    <x v="1"/>
    <x v="0"/>
    <x v="0"/>
    <x v="0"/>
    <x v="0"/>
    <x v="0"/>
    <x v="0"/>
    <x v="0"/>
    <s v="122BS4"/>
    <x v="2"/>
    <x v="0"/>
    <x v="2"/>
    <x v="0"/>
    <x v="0"/>
    <x v="0"/>
    <n v="51496.92"/>
    <n v="51496.92"/>
    <n v="34918.652990445495"/>
    <n v="86415.572990445493"/>
    <x v="0"/>
    <x v="0"/>
    <x v="0"/>
    <x v="0"/>
    <x v="0"/>
    <n v="1009.3396319999999"/>
    <x v="0"/>
    <n v="746.70533999999998"/>
    <n v="507.65663735999999"/>
    <x v="0"/>
    <n v="509.81950800000004"/>
    <n v="25.748459999999998"/>
    <x v="0"/>
    <n v="3192.8090400000001"/>
    <n v="10659.862439999999"/>
  </r>
  <r>
    <s v="DMN030"/>
    <s v="Accounting Manager - PC"/>
    <s v="@00117529"/>
    <s v="Huckabay, Sonia M."/>
    <s v="G"/>
    <x v="8"/>
    <x v="1"/>
    <x v="1"/>
    <x v="0"/>
    <x v="0"/>
    <x v="0"/>
    <x v="0"/>
    <x v="0"/>
    <s v="122BS4"/>
    <x v="2"/>
    <x v="1"/>
    <x v="2"/>
    <x v="0"/>
    <x v="0"/>
    <x v="0"/>
    <n v="111930.39"/>
    <n v="111930.39"/>
    <n v="54005.588121705499"/>
    <n v="165935.9781217055"/>
    <x v="0"/>
    <x v="0"/>
    <x v="0"/>
    <x v="0"/>
    <x v="0"/>
    <n v="2193.8356439999998"/>
    <x v="0"/>
    <n v="1622.9906550000001"/>
    <n v="1103.40978462"/>
    <x v="0"/>
    <n v="653.40000000000009"/>
    <n v="55.965195000000001"/>
    <x v="0"/>
    <n v="6939.6841800000002"/>
    <n v="23169.59073"/>
  </r>
  <r>
    <s v="DMC132"/>
    <s v="Accounting Technician II"/>
    <s v="@00193207"/>
    <s v="Galvan, Lacie"/>
    <s v="410"/>
    <x v="7"/>
    <x v="0"/>
    <x v="0"/>
    <x v="0"/>
    <x v="0"/>
    <x v="0"/>
    <x v="0"/>
    <x v="0"/>
    <s v="122BS5"/>
    <x v="2"/>
    <x v="0"/>
    <x v="2"/>
    <x v="0"/>
    <x v="0"/>
    <x v="0"/>
    <n v="47820"/>
    <n v="47820"/>
    <n v="33729.691493085498"/>
    <n v="81549.691493085498"/>
    <x v="0"/>
    <x v="0"/>
    <x v="0"/>
    <x v="0"/>
    <x v="0"/>
    <n v="937.27199999999993"/>
    <x v="0"/>
    <n v="693.39"/>
    <n v="471.40956"/>
    <x v="0"/>
    <n v="473.41800000000006"/>
    <n v="23.91"/>
    <x v="0"/>
    <n v="2964.84"/>
    <n v="9898.74"/>
  </r>
  <r>
    <s v="DMN028"/>
    <s v="Accounting Manager - CC"/>
    <s v="@00058074"/>
    <s v="Rock, Rebecca L."/>
    <s v="G"/>
    <x v="0"/>
    <x v="1"/>
    <x v="1"/>
    <x v="0"/>
    <x v="0"/>
    <x v="0"/>
    <x v="0"/>
    <x v="0"/>
    <s v="122BS5"/>
    <x v="2"/>
    <x v="1"/>
    <x v="2"/>
    <x v="0"/>
    <x v="0"/>
    <x v="0"/>
    <n v="94163.15"/>
    <n v="94163.15"/>
    <n v="48436.304605785503"/>
    <n v="142599.45460578549"/>
    <x v="0"/>
    <x v="0"/>
    <x v="0"/>
    <x v="0"/>
    <x v="0"/>
    <n v="1845.5977399999999"/>
    <x v="0"/>
    <n v="1365.365675"/>
    <n v="928.26033269999994"/>
    <x v="0"/>
    <n v="653.40000000000009"/>
    <n v="47.081575000000001"/>
    <x v="0"/>
    <n v="5838.1152999999995"/>
    <n v="19491.77205"/>
  </r>
  <r>
    <s v="DMC018"/>
    <s v="Accounting Technician II"/>
    <s v="@00300770"/>
    <s v="Medina, Ivan"/>
    <s v="410"/>
    <x v="7"/>
    <x v="0"/>
    <x v="0"/>
    <x v="0"/>
    <x v="0"/>
    <x v="0"/>
    <x v="0"/>
    <x v="0"/>
    <s v="122BS6"/>
    <x v="2"/>
    <x v="0"/>
    <x v="2"/>
    <x v="0"/>
    <x v="0"/>
    <x v="0"/>
    <n v="47820"/>
    <n v="47820"/>
    <n v="33729.691493085498"/>
    <n v="81549.691493085498"/>
    <x v="0"/>
    <x v="0"/>
    <x v="0"/>
    <x v="0"/>
    <x v="0"/>
    <n v="937.27199999999993"/>
    <x v="0"/>
    <n v="693.39"/>
    <n v="471.40956"/>
    <x v="0"/>
    <n v="473.41800000000006"/>
    <n v="23.91"/>
    <x v="0"/>
    <n v="2964.84"/>
    <n v="9898.74"/>
  </r>
  <r>
    <s v="DMC023"/>
    <s v="Accounting Technician II"/>
    <s v="@00000414"/>
    <s v="Gonzalez, Julia A."/>
    <s v="410"/>
    <x v="14"/>
    <x v="0"/>
    <x v="0"/>
    <x v="0"/>
    <x v="0"/>
    <x v="0"/>
    <x v="0"/>
    <x v="0"/>
    <s v="122BS7"/>
    <x v="2"/>
    <x v="0"/>
    <x v="2"/>
    <x v="0"/>
    <x v="0"/>
    <x v="0"/>
    <n v="62744.04"/>
    <n v="62744.04"/>
    <n v="38555.499219405494"/>
    <n v="101299.5392194055"/>
    <x v="0"/>
    <x v="0"/>
    <x v="0"/>
    <x v="0"/>
    <x v="0"/>
    <n v="1229.7831839999999"/>
    <x v="0"/>
    <n v="909.78858000000002"/>
    <n v="618.53074632000005"/>
    <x v="0"/>
    <n v="621.16599600000006"/>
    <n v="31.372020000000003"/>
    <x v="0"/>
    <n v="3890.1304799999998"/>
    <n v="12988.01628"/>
  </r>
  <r>
    <s v="DMC093"/>
    <s v="Accounting Technician II"/>
    <s v="@00669209"/>
    <s v="Rodriguez, Priscilla"/>
    <s v="410"/>
    <x v="7"/>
    <x v="0"/>
    <x v="0"/>
    <x v="0"/>
    <x v="0"/>
    <x v="0"/>
    <x v="0"/>
    <x v="0"/>
    <s v="122BS7"/>
    <x v="2"/>
    <x v="0"/>
    <x v="2"/>
    <x v="0"/>
    <x v="0"/>
    <x v="0"/>
    <n v="47820"/>
    <n v="47820"/>
    <n v="33729.691493085498"/>
    <n v="81549.691493085498"/>
    <x v="0"/>
    <x v="0"/>
    <x v="0"/>
    <x v="0"/>
    <x v="0"/>
    <n v="937.27199999999993"/>
    <x v="0"/>
    <n v="693.39"/>
    <n v="471.40956"/>
    <x v="0"/>
    <n v="473.41800000000006"/>
    <n v="23.91"/>
    <x v="0"/>
    <n v="2964.84"/>
    <n v="9898.74"/>
  </r>
  <r>
    <s v="DMC105"/>
    <s v="Accounting Technician II"/>
    <s v="@00360102"/>
    <s v="Galvan, Juanita"/>
    <s v="410"/>
    <x v="2"/>
    <x v="0"/>
    <x v="0"/>
    <x v="0"/>
    <x v="0"/>
    <x v="0"/>
    <x v="0"/>
    <x v="0"/>
    <s v="122BS7"/>
    <x v="2"/>
    <x v="0"/>
    <x v="2"/>
    <x v="0"/>
    <x v="0"/>
    <x v="0"/>
    <n v="46653.72"/>
    <n v="46653.72"/>
    <n v="33352.5655248455"/>
    <n v="80006.285524845502"/>
    <x v="0"/>
    <x v="0"/>
    <x v="0"/>
    <x v="0"/>
    <x v="0"/>
    <n v="914.41291200000001"/>
    <x v="0"/>
    <n v="676.47894000000008"/>
    <n v="459.91237176000004"/>
    <x v="0"/>
    <n v="461.87182800000005"/>
    <n v="23.32686"/>
    <x v="0"/>
    <n v="2892.5306399999999"/>
    <n v="9657.3200400000005"/>
  </r>
  <r>
    <s v="DMN029"/>
    <s v="Accounting Manager"/>
    <s v="@00671844"/>
    <s v="Blakemore, Tracy C."/>
    <s v="G"/>
    <x v="1"/>
    <x v="1"/>
    <x v="1"/>
    <x v="0"/>
    <x v="0"/>
    <x v="0"/>
    <x v="0"/>
    <x v="0"/>
    <s v="122BS7"/>
    <x v="2"/>
    <x v="1"/>
    <x v="2"/>
    <x v="0"/>
    <x v="0"/>
    <x v="0"/>
    <n v="98930.16"/>
    <n v="98930.16"/>
    <n v="49930.5620263655"/>
    <n v="148860.72202636552"/>
    <x v="0"/>
    <x v="0"/>
    <x v="0"/>
    <x v="0"/>
    <x v="0"/>
    <n v="1939.0311360000001"/>
    <x v="0"/>
    <n v="1434.4873200000002"/>
    <n v="975.2535172800001"/>
    <x v="0"/>
    <n v="653.40000000000009"/>
    <n v="49.46508"/>
    <x v="0"/>
    <n v="6133.6699200000003"/>
    <n v="20478.543119999998"/>
  </r>
  <r>
    <s v="DSUB20"/>
    <s v="Classified Hourly- Substitute"/>
    <m/>
    <m/>
    <m/>
    <x v="6"/>
    <x v="0"/>
    <x v="4"/>
    <x v="0"/>
    <x v="0"/>
    <x v="1"/>
    <x v="1"/>
    <x v="0"/>
    <s v="122BS7"/>
    <x v="2"/>
    <x v="4"/>
    <x v="2"/>
    <x v="0"/>
    <x v="0"/>
    <x v="4"/>
    <m/>
    <n v="0"/>
    <n v="0"/>
    <n v="0"/>
    <x v="5"/>
    <x v="5"/>
    <x v="5"/>
    <x v="2"/>
    <x v="0"/>
    <n v="0"/>
    <x v="0"/>
    <n v="0"/>
    <n v="0"/>
    <x v="0"/>
    <n v="0"/>
    <n v="0"/>
    <x v="0"/>
    <n v="0"/>
    <n v="0"/>
  </r>
  <r>
    <s v="DMC049"/>
    <s v="Administrative Assistant"/>
    <s v="@00003172"/>
    <s v="Munoz, Cynthia"/>
    <s v="445"/>
    <x v="14"/>
    <x v="0"/>
    <x v="0"/>
    <x v="0"/>
    <x v="0"/>
    <x v="0"/>
    <x v="0"/>
    <x v="0"/>
    <s v="130IT0"/>
    <x v="3"/>
    <x v="0"/>
    <x v="4"/>
    <x v="0"/>
    <x v="0"/>
    <x v="0"/>
    <n v="74582.880000000005"/>
    <n v="74582.880000000005"/>
    <n v="42298.712332125499"/>
    <n v="116881.5923321255"/>
    <x v="0"/>
    <x v="0"/>
    <x v="0"/>
    <x v="0"/>
    <x v="0"/>
    <n v="1461.8244480000001"/>
    <x v="0"/>
    <n v="1081.4517600000001"/>
    <n v="735.23803104000012"/>
    <x v="0"/>
    <n v="653.40000000000009"/>
    <n v="37.291440000000001"/>
    <x v="0"/>
    <n v="4624.1385600000003"/>
    <n v="15438.65616"/>
  </r>
  <r>
    <s v="DMC174"/>
    <s v="Department Assistant III"/>
    <s v="@00370396"/>
    <s v="Reyes Bonilla, Mayra A."/>
    <s v="380"/>
    <x v="13"/>
    <x v="0"/>
    <x v="0"/>
    <x v="0"/>
    <x v="0"/>
    <x v="0"/>
    <x v="0"/>
    <x v="0"/>
    <s v="130IT0"/>
    <x v="3"/>
    <x v="0"/>
    <x v="4"/>
    <x v="0"/>
    <x v="0"/>
    <x v="0"/>
    <n v="39248.160000000003"/>
    <n v="39248.160000000003"/>
    <n v="30957.918454365499"/>
    <n v="70206.078454365503"/>
    <x v="0"/>
    <x v="0"/>
    <x v="0"/>
    <x v="0"/>
    <x v="0"/>
    <n v="769.26393600000006"/>
    <x v="0"/>
    <n v="569.09832000000006"/>
    <n v="386.90836128000007"/>
    <x v="0"/>
    <n v="388.55678400000005"/>
    <n v="19.624080000000003"/>
    <x v="0"/>
    <n v="2433.3859200000002"/>
    <n v="8124.3691200000003"/>
  </r>
  <r>
    <s v="DMN065"/>
    <s v="Chief Information Officer"/>
    <s v="@00630702"/>
    <s v="Moser, Gary"/>
    <s v="M"/>
    <x v="11"/>
    <x v="1"/>
    <x v="1"/>
    <x v="0"/>
    <x v="0"/>
    <x v="0"/>
    <x v="0"/>
    <x v="0"/>
    <s v="130IT0"/>
    <x v="3"/>
    <x v="1"/>
    <x v="4"/>
    <x v="0"/>
    <x v="0"/>
    <x v="0"/>
    <n v="200380.37"/>
    <n v="200380.37"/>
    <n v="77547.159012545497"/>
    <n v="277927.52901254548"/>
    <x v="0"/>
    <x v="0"/>
    <x v="0"/>
    <x v="0"/>
    <x v="0"/>
    <n v="3927.4552519999997"/>
    <x v="0"/>
    <n v="2905.5153650000002"/>
    <n v="1975.34968746"/>
    <x v="0"/>
    <n v="653.40000000000009"/>
    <n v="100.190185"/>
    <x v="0"/>
    <n v="8239.7999999999993"/>
    <n v="41478.73659"/>
  </r>
  <r>
    <s v="DTC042"/>
    <s v="Department Assistant III-temp"/>
    <m/>
    <m/>
    <s v="380"/>
    <x v="5"/>
    <x v="0"/>
    <x v="4"/>
    <x v="0"/>
    <x v="1"/>
    <x v="0"/>
    <x v="2"/>
    <x v="0"/>
    <s v="130IT0"/>
    <x v="3"/>
    <x v="4"/>
    <x v="4"/>
    <x v="4"/>
    <x v="0"/>
    <x v="4"/>
    <m/>
    <n v="0"/>
    <n v="0"/>
    <n v="0"/>
    <x v="5"/>
    <x v="5"/>
    <x v="5"/>
    <x v="2"/>
    <x v="0"/>
    <n v="0"/>
    <x v="0"/>
    <n v="0"/>
    <n v="0"/>
    <x v="0"/>
    <n v="0"/>
    <n v="0"/>
    <x v="0"/>
    <n v="0"/>
    <n v="0"/>
  </r>
  <r>
    <s v="DMC040"/>
    <s v="Identity Management Engineer"/>
    <s v="@00004665"/>
    <s v="Galvez, Marco V."/>
    <s v="515"/>
    <x v="14"/>
    <x v="0"/>
    <x v="0"/>
    <x v="0"/>
    <x v="0"/>
    <x v="0"/>
    <x v="0"/>
    <x v="0"/>
    <s v="131IS0"/>
    <x v="3"/>
    <x v="0"/>
    <x v="4"/>
    <x v="0"/>
    <x v="0"/>
    <x v="0"/>
    <n v="105383.75"/>
    <n v="105383.75"/>
    <n v="51953.491440585494"/>
    <n v="157337.24144058549"/>
    <x v="0"/>
    <x v="0"/>
    <x v="0"/>
    <x v="0"/>
    <x v="0"/>
    <n v="2065.5214999999998"/>
    <x v="0"/>
    <n v="1528.0643750000002"/>
    <n v="1038.8730075000001"/>
    <x v="0"/>
    <n v="653.40000000000009"/>
    <n v="52.691875000000003"/>
    <x v="0"/>
    <n v="6533.7924999999996"/>
    <n v="21814.436249999999"/>
  </r>
  <r>
    <s v="DMC170"/>
    <s v="Security Engineer"/>
    <s v="@00302402"/>
    <s v="Lefler, Patrick S."/>
    <s v="535"/>
    <x v="2"/>
    <x v="0"/>
    <x v="0"/>
    <x v="0"/>
    <x v="0"/>
    <x v="0"/>
    <x v="0"/>
    <x v="0"/>
    <s v="131IS0"/>
    <x v="3"/>
    <x v="0"/>
    <x v="4"/>
    <x v="0"/>
    <x v="0"/>
    <x v="0"/>
    <n v="86493.36"/>
    <n v="86493.36"/>
    <n v="46032.147571965499"/>
    <n v="132525.50757196551"/>
    <x v="0"/>
    <x v="0"/>
    <x v="0"/>
    <x v="0"/>
    <x v="0"/>
    <n v="1695.2698559999999"/>
    <x v="0"/>
    <n v="1254.15372"/>
    <n v="852.65154288000008"/>
    <x v="0"/>
    <n v="653.40000000000009"/>
    <n v="43.246679999999998"/>
    <x v="0"/>
    <n v="5362.5883199999998"/>
    <n v="17904.125519999998"/>
  </r>
  <r>
    <s v="DMN054"/>
    <s v="Director, IT security"/>
    <s v="@00627631"/>
    <s v="Alexander, Steven M."/>
    <s v="K"/>
    <x v="11"/>
    <x v="1"/>
    <x v="1"/>
    <x v="0"/>
    <x v="0"/>
    <x v="0"/>
    <x v="0"/>
    <x v="0"/>
    <s v="131IS0"/>
    <x v="3"/>
    <x v="1"/>
    <x v="4"/>
    <x v="0"/>
    <x v="0"/>
    <x v="0"/>
    <n v="142169.29"/>
    <n v="142169.29"/>
    <n v="62909.5172579055"/>
    <n v="205078.80725790552"/>
    <x v="0"/>
    <x v="0"/>
    <x v="0"/>
    <x v="0"/>
    <x v="0"/>
    <n v="2786.5180840000003"/>
    <x v="0"/>
    <n v="2061.4547050000001"/>
    <n v="1401.5048608200002"/>
    <x v="0"/>
    <n v="653.40000000000009"/>
    <n v="71.084645000000009"/>
    <x v="0"/>
    <n v="8239.7999999999993"/>
    <n v="29429.043030000001"/>
  </r>
  <r>
    <s v="DMC002"/>
    <s v="Enterprise Res Plan Analyst II"/>
    <s v="@00004260"/>
    <s v="Chiang, Charley C."/>
    <s v="530"/>
    <x v="14"/>
    <x v="0"/>
    <x v="0"/>
    <x v="0"/>
    <x v="0"/>
    <x v="0"/>
    <x v="0"/>
    <x v="0"/>
    <s v="132EA0"/>
    <x v="3"/>
    <x v="0"/>
    <x v="4"/>
    <x v="0"/>
    <x v="0"/>
    <x v="0"/>
    <n v="113486.8"/>
    <n v="113486.8"/>
    <n v="54493.4572874855"/>
    <n v="167980.2572874855"/>
    <x v="0"/>
    <x v="0"/>
    <x v="0"/>
    <x v="0"/>
    <x v="0"/>
    <n v="2224.3412800000001"/>
    <x v="0"/>
    <n v="1645.5586000000001"/>
    <n v="1118.7528744000001"/>
    <x v="0"/>
    <n v="653.40000000000009"/>
    <n v="56.743400000000001"/>
    <x v="0"/>
    <n v="7036.1815999999999"/>
    <n v="23491.767599999999"/>
  </r>
  <r>
    <s v="DMC003"/>
    <s v="Enterprise Res Plan Analyst I"/>
    <s v="@00650501"/>
    <s v="Raboy, Michael"/>
    <s v="515"/>
    <x v="7"/>
    <x v="0"/>
    <x v="0"/>
    <x v="0"/>
    <x v="0"/>
    <x v="0"/>
    <x v="0"/>
    <x v="0"/>
    <s v="132EA0"/>
    <x v="3"/>
    <x v="0"/>
    <x v="4"/>
    <x v="0"/>
    <x v="0"/>
    <x v="0"/>
    <n v="80317.679999999993"/>
    <n v="80317.679999999993"/>
    <n v="44096.331270525494"/>
    <n v="124414.01127052549"/>
    <x v="0"/>
    <x v="0"/>
    <x v="0"/>
    <x v="0"/>
    <x v="0"/>
    <n v="1574.2265279999999"/>
    <x v="0"/>
    <n v="1164.60636"/>
    <n v="791.77168943999993"/>
    <x v="0"/>
    <n v="653.40000000000009"/>
    <n v="40.158839999999998"/>
    <x v="0"/>
    <n v="4979.6961599999995"/>
    <n v="16625.759759999997"/>
  </r>
  <r>
    <s v="DMC028"/>
    <s v="Enterprise Res Plan Analyst I"/>
    <s v="@00538679"/>
    <s v="Roopawala, Juzar A."/>
    <s v="515"/>
    <x v="15"/>
    <x v="0"/>
    <x v="0"/>
    <x v="0"/>
    <x v="0"/>
    <x v="0"/>
    <x v="0"/>
    <x v="0"/>
    <s v="132EA0"/>
    <x v="3"/>
    <x v="0"/>
    <x v="4"/>
    <x v="0"/>
    <x v="0"/>
    <x v="0"/>
    <n v="100305.72"/>
    <n v="100305.72"/>
    <n v="50361.742312845498"/>
    <n v="150667.46231284551"/>
    <x v="0"/>
    <x v="0"/>
    <x v="0"/>
    <x v="0"/>
    <x v="0"/>
    <n v="1965.9921119999999"/>
    <x v="0"/>
    <n v="1454.4329400000001"/>
    <n v="988.81378776000008"/>
    <x v="0"/>
    <n v="653.40000000000009"/>
    <n v="50.152860000000004"/>
    <x v="0"/>
    <n v="6218.9546399999999"/>
    <n v="20763.284039999999"/>
  </r>
  <r>
    <s v="DMC051"/>
    <s v="Enterprise Res Plan Analyst I"/>
    <m/>
    <m/>
    <n v="515"/>
    <x v="5"/>
    <x v="0"/>
    <x v="0"/>
    <x v="0"/>
    <x v="0"/>
    <x v="1"/>
    <x v="1"/>
    <x v="0"/>
    <s v="132EA0"/>
    <x v="3"/>
    <x v="0"/>
    <x v="4"/>
    <x v="0"/>
    <x v="0"/>
    <x v="0"/>
    <n v="74582.880000000005"/>
    <n v="74582.880000000005"/>
    <n v="42298.712332125499"/>
    <n v="116881.5923321255"/>
    <x v="0"/>
    <x v="0"/>
    <x v="0"/>
    <x v="0"/>
    <x v="0"/>
    <n v="1461.8244480000001"/>
    <x v="0"/>
    <n v="1081.4517600000001"/>
    <n v="735.23803104000012"/>
    <x v="0"/>
    <n v="653.40000000000009"/>
    <n v="37.291440000000001"/>
    <x v="0"/>
    <n v="4624.1385600000003"/>
    <n v="15438.65616"/>
  </r>
  <r>
    <s v="DMC083"/>
    <s v="Enterprise Res Plan Analyst II"/>
    <s v="@00257242"/>
    <s v="Tully, Brian A."/>
    <s v="530"/>
    <x v="12"/>
    <x v="0"/>
    <x v="0"/>
    <x v="0"/>
    <x v="0"/>
    <x v="0"/>
    <x v="0"/>
    <x v="0"/>
    <s v="132EA0"/>
    <x v="3"/>
    <x v="0"/>
    <x v="4"/>
    <x v="0"/>
    <x v="0"/>
    <x v="0"/>
    <n v="110718.84"/>
    <n v="110718.84"/>
    <n v="53625.818081805497"/>
    <n v="164344.65808180551"/>
    <x v="0"/>
    <x v="0"/>
    <x v="0"/>
    <x v="0"/>
    <x v="0"/>
    <n v="2170.0892639999997"/>
    <x v="0"/>
    <n v="1605.42318"/>
    <n v="1091.4663247200001"/>
    <x v="0"/>
    <n v="653.40000000000009"/>
    <n v="55.35942"/>
    <x v="0"/>
    <n v="6864.56808"/>
    <n v="22918.799879999999"/>
  </r>
  <r>
    <s v="DMC084"/>
    <s v="Database Administrator II"/>
    <s v="@00000243"/>
    <s v="Bowman, Carl N."/>
    <s v="540"/>
    <x v="14"/>
    <x v="0"/>
    <x v="0"/>
    <x v="0"/>
    <x v="0"/>
    <x v="0"/>
    <x v="0"/>
    <x v="0"/>
    <s v="132EA0"/>
    <x v="3"/>
    <x v="0"/>
    <x v="4"/>
    <x v="0"/>
    <x v="0"/>
    <x v="0"/>
    <n v="119232"/>
    <n v="119232"/>
    <n v="56474.336189085501"/>
    <n v="175706.3361890855"/>
    <x v="0"/>
    <x v="0"/>
    <x v="0"/>
    <x v="0"/>
    <x v="2"/>
    <n v="2336.9472000000001"/>
    <x v="0"/>
    <n v="1728.864"/>
    <n v="1175.389056"/>
    <x v="0"/>
    <n v="653.40000000000009"/>
    <n v="59.616"/>
    <x v="0"/>
    <n v="7392.384"/>
    <n v="24681.023999999998"/>
  </r>
  <r>
    <s v="DMC098"/>
    <s v="Database Administrator I"/>
    <s v="@00254317"/>
    <s v="Carrizales, Candy"/>
    <s v="515"/>
    <x v="11"/>
    <x v="0"/>
    <x v="0"/>
    <x v="0"/>
    <x v="0"/>
    <x v="0"/>
    <x v="0"/>
    <x v="0"/>
    <s v="132EA0"/>
    <x v="3"/>
    <x v="0"/>
    <x v="4"/>
    <x v="0"/>
    <x v="0"/>
    <x v="0"/>
    <n v="90872.04"/>
    <n v="90872.04"/>
    <n v="47404.679847405496"/>
    <n v="138276.7198474055"/>
    <x v="0"/>
    <x v="0"/>
    <x v="0"/>
    <x v="0"/>
    <x v="0"/>
    <n v="1781.0919839999999"/>
    <x v="0"/>
    <n v="1317.6445799999999"/>
    <n v="895.81657031999998"/>
    <x v="0"/>
    <n v="653.40000000000009"/>
    <n v="45.436019999999999"/>
    <x v="0"/>
    <n v="5634.0664799999995"/>
    <n v="18810.512279999999"/>
  </r>
  <r>
    <s v="DMC127"/>
    <s v="Cloud Applications Engineer"/>
    <s v="@00256951"/>
    <s v="White, Joseph C."/>
    <s v="540"/>
    <x v="7"/>
    <x v="0"/>
    <x v="0"/>
    <x v="0"/>
    <x v="0"/>
    <x v="0"/>
    <x v="0"/>
    <x v="0"/>
    <s v="132EA0"/>
    <x v="3"/>
    <x v="0"/>
    <x v="4"/>
    <x v="0"/>
    <x v="0"/>
    <x v="0"/>
    <n v="90872.04"/>
    <n v="90872.04"/>
    <n v="47404.679847405496"/>
    <n v="138276.7198474055"/>
    <x v="0"/>
    <x v="0"/>
    <x v="0"/>
    <x v="0"/>
    <x v="0"/>
    <n v="1781.0919839999999"/>
    <x v="0"/>
    <n v="1317.6445799999999"/>
    <n v="895.81657031999998"/>
    <x v="0"/>
    <n v="653.40000000000009"/>
    <n v="45.436019999999999"/>
    <x v="0"/>
    <n v="5634.0664799999995"/>
    <n v="18810.512279999999"/>
  </r>
  <r>
    <s v="DMC128"/>
    <s v="Web Developer"/>
    <m/>
    <m/>
    <n v="515"/>
    <x v="5"/>
    <x v="0"/>
    <x v="0"/>
    <x v="0"/>
    <x v="0"/>
    <x v="1"/>
    <x v="1"/>
    <x v="0"/>
    <s v="132EA0"/>
    <x v="3"/>
    <x v="0"/>
    <x v="4"/>
    <x v="0"/>
    <x v="0"/>
    <x v="0"/>
    <n v="74582.880000000005"/>
    <n v="74582.880000000005"/>
    <n v="42298.712332125499"/>
    <n v="116881.5923321255"/>
    <x v="0"/>
    <x v="0"/>
    <x v="0"/>
    <x v="0"/>
    <x v="0"/>
    <n v="1461.8244480000001"/>
    <x v="0"/>
    <n v="1081.4517600000001"/>
    <n v="735.23803104000012"/>
    <x v="0"/>
    <n v="653.40000000000009"/>
    <n v="37.291440000000001"/>
    <x v="0"/>
    <n v="4624.1385600000003"/>
    <n v="15438.65616"/>
  </r>
  <r>
    <s v="DMC138"/>
    <s v="Data Warehouse Administrator"/>
    <s v="@00605436"/>
    <s v="Evans, Marsha"/>
    <s v="530"/>
    <x v="14"/>
    <x v="0"/>
    <x v="0"/>
    <x v="0"/>
    <x v="0"/>
    <x v="0"/>
    <x v="0"/>
    <x v="0"/>
    <s v="132EA0"/>
    <x v="3"/>
    <x v="0"/>
    <x v="4"/>
    <x v="0"/>
    <x v="0"/>
    <x v="0"/>
    <n v="113486.76"/>
    <n v="113486.76"/>
    <n v="54493.444749165501"/>
    <n v="167980.20474916551"/>
    <x v="0"/>
    <x v="0"/>
    <x v="0"/>
    <x v="0"/>
    <x v="0"/>
    <n v="2224.3404959999998"/>
    <x v="0"/>
    <n v="1645.5580199999999"/>
    <n v="1118.7524800799999"/>
    <x v="0"/>
    <n v="653.40000000000009"/>
    <n v="56.743380000000002"/>
    <x v="0"/>
    <n v="7036.1791199999998"/>
    <n v="23491.759319999997"/>
  </r>
  <r>
    <s v="DMC139"/>
    <s v="Data Warehouse Developer"/>
    <s v="@00362044"/>
    <s v="Chavarria, Daniel S."/>
    <s v="515"/>
    <x v="2"/>
    <x v="0"/>
    <x v="0"/>
    <x v="0"/>
    <x v="0"/>
    <x v="0"/>
    <x v="0"/>
    <x v="0"/>
    <s v="132EA0"/>
    <x v="3"/>
    <x v="0"/>
    <x v="4"/>
    <x v="0"/>
    <x v="0"/>
    <x v="0"/>
    <n v="78358.679999999993"/>
    <n v="78358.679999999993"/>
    <n v="43482.2670485255"/>
    <n v="121840.9470485255"/>
    <x v="0"/>
    <x v="0"/>
    <x v="0"/>
    <x v="0"/>
    <x v="0"/>
    <n v="1535.8301279999998"/>
    <x v="0"/>
    <n v="1136.2008599999999"/>
    <n v="772.45986743999993"/>
    <x v="0"/>
    <n v="653.40000000000009"/>
    <n v="39.179339999999996"/>
    <x v="0"/>
    <n v="4858.2381599999999"/>
    <n v="16220.246759999998"/>
  </r>
  <r>
    <s v="DMC151"/>
    <s v="Systems Support Analyst"/>
    <s v="@00355096"/>
    <s v="Kuhn, Angelique G."/>
    <s v="475"/>
    <x v="2"/>
    <x v="0"/>
    <x v="0"/>
    <x v="0"/>
    <x v="0"/>
    <x v="0"/>
    <x v="0"/>
    <x v="0"/>
    <s v="132EA0"/>
    <x v="3"/>
    <x v="0"/>
    <x v="4"/>
    <x v="0"/>
    <x v="0"/>
    <x v="0"/>
    <n v="64312.68"/>
    <n v="64312.68"/>
    <n v="39062.731512525497"/>
    <n v="103375.41151252549"/>
    <x v="0"/>
    <x v="0"/>
    <x v="0"/>
    <x v="0"/>
    <x v="0"/>
    <n v="1260.5285280000001"/>
    <x v="0"/>
    <n v="932.53386"/>
    <n v="633.99439944000005"/>
    <x v="0"/>
    <n v="636.69553200000007"/>
    <n v="32.15634"/>
    <x v="0"/>
    <n v="3987.38616"/>
    <n v="13312.724759999999"/>
  </r>
  <r>
    <s v="DMC160"/>
    <s v="Enterprise Res Plan Analyst I"/>
    <s v="@00650502"/>
    <s v="Michal, William"/>
    <s v="515"/>
    <x v="7"/>
    <x v="0"/>
    <x v="0"/>
    <x v="0"/>
    <x v="0"/>
    <x v="0"/>
    <x v="0"/>
    <x v="0"/>
    <s v="132EA0"/>
    <x v="3"/>
    <x v="0"/>
    <x v="4"/>
    <x v="0"/>
    <x v="0"/>
    <x v="0"/>
    <n v="80317.679999999993"/>
    <n v="80317.679999999993"/>
    <n v="44096.331270525494"/>
    <n v="124414.01127052549"/>
    <x v="0"/>
    <x v="0"/>
    <x v="0"/>
    <x v="0"/>
    <x v="0"/>
    <n v="1574.2265279999999"/>
    <x v="0"/>
    <n v="1164.60636"/>
    <n v="791.77168943999993"/>
    <x v="0"/>
    <n v="653.40000000000009"/>
    <n v="40.158839999999998"/>
    <x v="0"/>
    <n v="4979.6961599999995"/>
    <n v="16625.759759999997"/>
  </r>
  <r>
    <s v="DMC164"/>
    <s v="Enterprise Res Plan Analyst I"/>
    <s v="@00720833"/>
    <s v="Bunk, Alvin"/>
    <n v="515"/>
    <x v="2"/>
    <x v="0"/>
    <x v="0"/>
    <x v="0"/>
    <x v="0"/>
    <x v="0"/>
    <x v="0"/>
    <x v="0"/>
    <s v="132EA0"/>
    <x v="3"/>
    <x v="0"/>
    <x v="4"/>
    <x v="0"/>
    <x v="0"/>
    <x v="0"/>
    <n v="78358.679999999993"/>
    <n v="78358.679999999993"/>
    <n v="43482.2670485255"/>
    <n v="121840.9470485255"/>
    <x v="0"/>
    <x v="0"/>
    <x v="0"/>
    <x v="0"/>
    <x v="0"/>
    <n v="1535.8301279999998"/>
    <x v="0"/>
    <n v="1136.2008599999999"/>
    <n v="772.45986743999993"/>
    <x v="0"/>
    <n v="653.40000000000009"/>
    <n v="39.179339999999996"/>
    <x v="0"/>
    <n v="4858.2381599999999"/>
    <n v="16220.246759999998"/>
  </r>
  <r>
    <s v="DMN063"/>
    <s v="Director, Enterprise Applctns"/>
    <s v="@00265950"/>
    <s v="Barnett, David R."/>
    <s v="I"/>
    <x v="8"/>
    <x v="1"/>
    <x v="1"/>
    <x v="0"/>
    <x v="0"/>
    <x v="0"/>
    <x v="0"/>
    <x v="0"/>
    <s v="132EA0"/>
    <x v="3"/>
    <x v="1"/>
    <x v="4"/>
    <x v="0"/>
    <x v="0"/>
    <x v="0"/>
    <n v="134757.07"/>
    <n v="134757.07"/>
    <n v="61045.65524114549"/>
    <n v="195802.7252411455"/>
    <x v="0"/>
    <x v="0"/>
    <x v="0"/>
    <x v="0"/>
    <x v="0"/>
    <n v="2641.2385720000002"/>
    <x v="0"/>
    <n v="1953.9775150000003"/>
    <n v="1328.4351960600002"/>
    <x v="0"/>
    <n v="653.40000000000009"/>
    <n v="67.378534999999999"/>
    <x v="0"/>
    <n v="8239.7999999999993"/>
    <n v="27894.713489999998"/>
  </r>
  <r>
    <s v="DMN066"/>
    <s v="Assoc Dir, Enterprise Applctns"/>
    <s v="@00357519"/>
    <s v="Kegley, Stephen L."/>
    <s v="H"/>
    <x v="10"/>
    <x v="1"/>
    <x v="1"/>
    <x v="0"/>
    <x v="0"/>
    <x v="0"/>
    <x v="0"/>
    <x v="0"/>
    <s v="132EA0"/>
    <x v="3"/>
    <x v="1"/>
    <x v="4"/>
    <x v="0"/>
    <x v="0"/>
    <x v="0"/>
    <n v="117770.98"/>
    <n v="117770.98"/>
    <n v="55836.367781925495"/>
    <n v="173607.34778192549"/>
    <x v="0"/>
    <x v="0"/>
    <x v="0"/>
    <x v="0"/>
    <x v="0"/>
    <n v="2308.3112079999996"/>
    <x v="0"/>
    <n v="1707.67921"/>
    <n v="1160.98632084"/>
    <x v="0"/>
    <n v="653.40000000000009"/>
    <n v="58.885489999999997"/>
    <x v="0"/>
    <n v="7301.8007600000001"/>
    <n v="24378.592859999997"/>
  </r>
  <r>
    <s v="DMC001"/>
    <s v="Cloud Infrastructure Engineer"/>
    <s v="@00003300"/>
    <s v="Arnold, Michael W."/>
    <s v="540"/>
    <x v="14"/>
    <x v="0"/>
    <x v="0"/>
    <x v="0"/>
    <x v="0"/>
    <x v="0"/>
    <x v="0"/>
    <x v="0"/>
    <s v="133II0"/>
    <x v="3"/>
    <x v="0"/>
    <x v="4"/>
    <x v="0"/>
    <x v="0"/>
    <x v="0"/>
    <n v="119232.03"/>
    <n v="119232.03"/>
    <n v="56474.345592825499"/>
    <n v="175706.3755928255"/>
    <x v="0"/>
    <x v="0"/>
    <x v="0"/>
    <x v="0"/>
    <x v="2"/>
    <n v="2336.9477879999999"/>
    <x v="0"/>
    <n v="1728.864435"/>
    <n v="1175.3893517399999"/>
    <x v="0"/>
    <n v="653.40000000000009"/>
    <n v="59.616014999999997"/>
    <x v="0"/>
    <n v="7392.3858600000003"/>
    <n v="24681.030209999997"/>
  </r>
  <r>
    <s v="DMC030"/>
    <s v="WAN Engineer"/>
    <s v="@00131490"/>
    <s v="Taylor, Kenneth J."/>
    <s v="510"/>
    <x v="9"/>
    <x v="0"/>
    <x v="0"/>
    <x v="0"/>
    <x v="0"/>
    <x v="0"/>
    <x v="0"/>
    <x v="0"/>
    <s v="133II0"/>
    <x v="3"/>
    <x v="0"/>
    <x v="4"/>
    <x v="0"/>
    <x v="0"/>
    <x v="0"/>
    <n v="82325.64"/>
    <n v="82325.64"/>
    <n v="44725.742396205504"/>
    <n v="127051.3823962055"/>
    <x v="0"/>
    <x v="0"/>
    <x v="0"/>
    <x v="0"/>
    <x v="0"/>
    <n v="1613.5825439999999"/>
    <x v="0"/>
    <n v="1193.7217800000001"/>
    <n v="811.56615912000007"/>
    <x v="0"/>
    <n v="653.40000000000009"/>
    <n v="41.162820000000004"/>
    <x v="0"/>
    <n v="5104.1896799999995"/>
    <n v="17041.407479999998"/>
  </r>
  <r>
    <s v="DMC042"/>
    <s v="Systems Administration Manager"/>
    <s v="@00243820"/>
    <s v="Ding, Suyun"/>
    <s v="540"/>
    <x v="14"/>
    <x v="0"/>
    <x v="0"/>
    <x v="0"/>
    <x v="0"/>
    <x v="0"/>
    <x v="0"/>
    <x v="0"/>
    <s v="133II0"/>
    <x v="3"/>
    <x v="0"/>
    <x v="4"/>
    <x v="0"/>
    <x v="0"/>
    <x v="0"/>
    <n v="119232.03"/>
    <n v="119232.03"/>
    <n v="56474.345592825499"/>
    <n v="175706.3755928255"/>
    <x v="0"/>
    <x v="0"/>
    <x v="0"/>
    <x v="0"/>
    <x v="2"/>
    <n v="2336.9477879999999"/>
    <x v="0"/>
    <n v="1728.864435"/>
    <n v="1175.3893517399999"/>
    <x v="0"/>
    <n v="653.40000000000009"/>
    <n v="59.616014999999997"/>
    <x v="0"/>
    <n v="7392.3858600000003"/>
    <n v="24681.030209999997"/>
  </r>
  <r>
    <s v="DMC064"/>
    <s v="Systems Administrator"/>
    <s v="@00217764"/>
    <s v="Ferree, Patrick R."/>
    <s v="510"/>
    <x v="11"/>
    <x v="0"/>
    <x v="0"/>
    <x v="0"/>
    <x v="0"/>
    <x v="0"/>
    <x v="0"/>
    <x v="0"/>
    <s v="133II0"/>
    <x v="3"/>
    <x v="0"/>
    <x v="4"/>
    <x v="0"/>
    <x v="0"/>
    <x v="0"/>
    <n v="88655.76"/>
    <n v="88655.76"/>
    <n v="46709.969151165496"/>
    <n v="135365.72915116549"/>
    <x v="0"/>
    <x v="0"/>
    <x v="0"/>
    <x v="0"/>
    <x v="0"/>
    <n v="1737.6528959999998"/>
    <x v="0"/>
    <n v="1285.5085200000001"/>
    <n v="873.96848207999994"/>
    <x v="0"/>
    <n v="653.40000000000009"/>
    <n v="44.32788"/>
    <x v="0"/>
    <n v="5496.6571199999998"/>
    <n v="18351.742319999998"/>
  </r>
  <r>
    <s v="DMC100"/>
    <s v="Systems Administrator"/>
    <s v="@00438182"/>
    <s v="Tusaw, Dana"/>
    <s v="510"/>
    <x v="10"/>
    <x v="0"/>
    <x v="0"/>
    <x v="0"/>
    <x v="0"/>
    <x v="0"/>
    <x v="0"/>
    <x v="0"/>
    <s v="133II0"/>
    <x v="3"/>
    <x v="0"/>
    <x v="4"/>
    <x v="0"/>
    <x v="0"/>
    <x v="0"/>
    <n v="90872.04"/>
    <n v="90872.04"/>
    <n v="47584.679847405496"/>
    <n v="138456.7198474055"/>
    <x v="0"/>
    <x v="0"/>
    <x v="0"/>
    <x v="0"/>
    <x v="2"/>
    <n v="1781.0919839999999"/>
    <x v="0"/>
    <n v="1317.6445799999999"/>
    <n v="895.81657031999998"/>
    <x v="0"/>
    <n v="653.40000000000009"/>
    <n v="45.436019999999999"/>
    <x v="0"/>
    <n v="5634.0664799999995"/>
    <n v="18810.512279999999"/>
  </r>
  <r>
    <s v="DMC124"/>
    <s v="Network Engineer"/>
    <s v="@00520702"/>
    <s v="Lucero, Juan A."/>
    <s v="510"/>
    <x v="3"/>
    <x v="0"/>
    <x v="0"/>
    <x v="0"/>
    <x v="0"/>
    <x v="0"/>
    <x v="0"/>
    <x v="0"/>
    <s v="133II0"/>
    <x v="3"/>
    <x v="0"/>
    <x v="4"/>
    <x v="0"/>
    <x v="0"/>
    <x v="0"/>
    <n v="93143.88"/>
    <n v="93143.88"/>
    <n v="48116.806270125504"/>
    <n v="141260.6862701255"/>
    <x v="0"/>
    <x v="0"/>
    <x v="0"/>
    <x v="0"/>
    <x v="0"/>
    <n v="1825.620048"/>
    <x v="0"/>
    <n v="1350.58626"/>
    <n v="918.21236904000011"/>
    <x v="0"/>
    <n v="653.40000000000009"/>
    <n v="46.571940000000005"/>
    <x v="0"/>
    <n v="5774.9205600000005"/>
    <n v="19280.783159999999"/>
  </r>
  <r>
    <s v="DMC126"/>
    <s v="Systems Support Specialist I"/>
    <s v="@00246023"/>
    <s v="Pryor, Karen L."/>
    <s v="445"/>
    <x v="14"/>
    <x v="0"/>
    <x v="0"/>
    <x v="0"/>
    <x v="0"/>
    <x v="0"/>
    <x v="0"/>
    <x v="0"/>
    <s v="133II0"/>
    <x v="3"/>
    <x v="0"/>
    <x v="4"/>
    <x v="0"/>
    <x v="0"/>
    <x v="0"/>
    <n v="74582.880000000005"/>
    <n v="74582.880000000005"/>
    <n v="42478.712332125499"/>
    <n v="117061.5923321255"/>
    <x v="0"/>
    <x v="0"/>
    <x v="0"/>
    <x v="0"/>
    <x v="2"/>
    <n v="1461.8244480000001"/>
    <x v="0"/>
    <n v="1081.4517600000001"/>
    <n v="735.23803104000012"/>
    <x v="0"/>
    <n v="653.40000000000009"/>
    <n v="37.291440000000001"/>
    <x v="0"/>
    <n v="4624.1385600000003"/>
    <n v="15438.65616"/>
  </r>
  <r>
    <s v="DMC147"/>
    <s v="Network Engineer"/>
    <s v="@00205536"/>
    <s v="Horton, Jeremy S."/>
    <s v="510"/>
    <x v="3"/>
    <x v="0"/>
    <x v="0"/>
    <x v="0"/>
    <x v="0"/>
    <x v="0"/>
    <x v="0"/>
    <x v="0"/>
    <s v="133II0"/>
    <x v="3"/>
    <x v="0"/>
    <x v="4"/>
    <x v="0"/>
    <x v="0"/>
    <x v="0"/>
    <n v="93143.88"/>
    <n v="93143.88"/>
    <n v="48116.806270125504"/>
    <n v="141260.6862701255"/>
    <x v="0"/>
    <x v="0"/>
    <x v="0"/>
    <x v="0"/>
    <x v="0"/>
    <n v="1825.620048"/>
    <x v="0"/>
    <n v="1350.58626"/>
    <n v="918.21236904000011"/>
    <x v="0"/>
    <n v="653.40000000000009"/>
    <n v="46.571940000000005"/>
    <x v="0"/>
    <n v="5774.9205600000005"/>
    <n v="19280.783159999999"/>
  </r>
  <r>
    <s v="DMC159"/>
    <s v="Network Engineer"/>
    <s v="@00071282"/>
    <s v="Kelley, Justin K."/>
    <s v="510"/>
    <x v="0"/>
    <x v="0"/>
    <x v="0"/>
    <x v="0"/>
    <x v="0"/>
    <x v="0"/>
    <x v="0"/>
    <x v="0"/>
    <s v="133II0"/>
    <x v="3"/>
    <x v="0"/>
    <x v="4"/>
    <x v="0"/>
    <x v="0"/>
    <x v="0"/>
    <n v="80317.679999999993"/>
    <n v="80317.679999999993"/>
    <n v="44096.331270525494"/>
    <n v="124414.01127052549"/>
    <x v="0"/>
    <x v="0"/>
    <x v="0"/>
    <x v="0"/>
    <x v="0"/>
    <n v="1574.2265279999999"/>
    <x v="0"/>
    <n v="1164.60636"/>
    <n v="791.77168943999993"/>
    <x v="0"/>
    <n v="653.40000000000009"/>
    <n v="40.158839999999998"/>
    <x v="0"/>
    <n v="4979.6961599999995"/>
    <n v="16625.759759999997"/>
  </r>
  <r>
    <s v="DMC163"/>
    <s v="Systems Support Specialist I"/>
    <s v="@00631441"/>
    <s v="Wallace, Justin"/>
    <s v="445"/>
    <x v="7"/>
    <x v="0"/>
    <x v="0"/>
    <x v="0"/>
    <x v="0"/>
    <x v="0"/>
    <x v="0"/>
    <x v="0"/>
    <s v="133II0"/>
    <x v="3"/>
    <x v="0"/>
    <x v="4"/>
    <x v="0"/>
    <x v="0"/>
    <x v="0"/>
    <n v="56843.040000000001"/>
    <n v="56843.040000000001"/>
    <n v="36647.363661405499"/>
    <n v="93490.403661405493"/>
    <x v="0"/>
    <x v="0"/>
    <x v="0"/>
    <x v="0"/>
    <x v="0"/>
    <n v="1114.1235839999999"/>
    <x v="0"/>
    <n v="824.22408000000007"/>
    <n v="560.35868832000006"/>
    <x v="0"/>
    <n v="562.74609600000008"/>
    <n v="28.421520000000001"/>
    <x v="0"/>
    <n v="3524.2684800000002"/>
    <n v="11766.50928"/>
  </r>
  <r>
    <s v="DMN042"/>
    <s v="IT Customer Support Op Manager"/>
    <s v="@00658448"/>
    <s v="Mondragon, Hernando"/>
    <s v="G"/>
    <x v="7"/>
    <x v="1"/>
    <x v="1"/>
    <x v="0"/>
    <x v="0"/>
    <x v="0"/>
    <x v="0"/>
    <x v="0"/>
    <s v="133II0"/>
    <x v="3"/>
    <x v="1"/>
    <x v="4"/>
    <x v="0"/>
    <x v="0"/>
    <x v="0"/>
    <n v="91866.48"/>
    <n v="91866.48"/>
    <n v="47716.395020925498"/>
    <n v="139582.87502092548"/>
    <x v="0"/>
    <x v="0"/>
    <x v="0"/>
    <x v="0"/>
    <x v="0"/>
    <n v="1800.5830079999998"/>
    <x v="0"/>
    <n v="1332.06396"/>
    <n v="905.61975984000003"/>
    <x v="0"/>
    <n v="653.40000000000009"/>
    <n v="45.933239999999998"/>
    <x v="0"/>
    <n v="5695.7217599999994"/>
    <n v="19016.361359999999"/>
  </r>
  <r>
    <s v="DMN067"/>
    <s v="Director of IT Infrastructure"/>
    <s v="@00002837"/>
    <s v="Alvarado, Eddie D."/>
    <s v="I"/>
    <x v="8"/>
    <x v="1"/>
    <x v="1"/>
    <x v="0"/>
    <x v="0"/>
    <x v="0"/>
    <x v="0"/>
    <x v="0"/>
    <s v="133II0"/>
    <x v="3"/>
    <x v="1"/>
    <x v="4"/>
    <x v="0"/>
    <x v="0"/>
    <x v="0"/>
    <n v="134757.07"/>
    <n v="134757.07"/>
    <n v="61225.65524114549"/>
    <n v="195982.7252411455"/>
    <x v="0"/>
    <x v="0"/>
    <x v="0"/>
    <x v="0"/>
    <x v="2"/>
    <n v="2641.2385720000002"/>
    <x v="0"/>
    <n v="1953.9775150000003"/>
    <n v="1328.4351960600002"/>
    <x v="0"/>
    <n v="653.40000000000009"/>
    <n v="67.378534999999999"/>
    <x v="0"/>
    <n v="8239.7999999999993"/>
    <n v="27894.713489999998"/>
  </r>
  <r>
    <s v="BMF238"/>
    <s v="Instructor, English"/>
    <s v="@00000269"/>
    <s v="Boyles, Pamela K."/>
    <s v="04"/>
    <x v="14"/>
    <x v="2"/>
    <x v="7"/>
    <x v="0"/>
    <x v="0"/>
    <x v="0"/>
    <x v="0"/>
    <x v="0"/>
    <s v="140HR0"/>
    <x v="4"/>
    <x v="7"/>
    <x v="5"/>
    <x v="0"/>
    <x v="0"/>
    <x v="10"/>
    <n v="125015.23"/>
    <n v="37504.568999999996"/>
    <n v="13427.939602027651"/>
    <n v="50932.50860202765"/>
    <x v="5"/>
    <x v="11"/>
    <x v="17"/>
    <x v="11"/>
    <x v="0"/>
    <n v="735.08955239999989"/>
    <x v="0"/>
    <n v="543.81625050000002"/>
    <n v="369.72004120199995"/>
    <x v="0"/>
    <n v="196.02"/>
    <n v="18.752284499999998"/>
    <x v="2"/>
    <m/>
    <m/>
  </r>
  <r>
    <s v="BMF515"/>
    <s v="Instructor, English"/>
    <s v="@00054526"/>
    <s v="Tatum, Ann M."/>
    <s v="04"/>
    <x v="14"/>
    <x v="3"/>
    <x v="8"/>
    <x v="0"/>
    <x v="0"/>
    <x v="0"/>
    <x v="0"/>
    <x v="0"/>
    <s v="140HR0"/>
    <x v="4"/>
    <x v="7"/>
    <x v="5"/>
    <x v="0"/>
    <x v="0"/>
    <x v="16"/>
    <n v="125015.23"/>
    <n v="25003.046000000002"/>
    <n v="8951.9597346851006"/>
    <n v="33955.005734685103"/>
    <x v="5"/>
    <x v="17"/>
    <x v="18"/>
    <x v="17"/>
    <x v="0"/>
    <n v="490.05970160000004"/>
    <x v="0"/>
    <n v="362.54416700000007"/>
    <n v="246.48002746800003"/>
    <x v="0"/>
    <n v="130.68000000000004"/>
    <n v="12.501523000000001"/>
    <x v="3"/>
    <m/>
    <m/>
  </r>
  <r>
    <s v="CMF022"/>
    <s v="Instructor, Reading"/>
    <s v="@00409473"/>
    <s v="Vasquez, Laura J."/>
    <s v="02"/>
    <x v="15"/>
    <x v="3"/>
    <x v="8"/>
    <x v="0"/>
    <x v="0"/>
    <x v="0"/>
    <x v="0"/>
    <x v="0"/>
    <s v="140HR0"/>
    <x v="4"/>
    <x v="7"/>
    <x v="6"/>
    <x v="0"/>
    <x v="1"/>
    <x v="16"/>
    <n v="103930.05"/>
    <n v="20786.010000000002"/>
    <n v="8083.4274341971013"/>
    <n v="28869.437434197105"/>
    <x v="5"/>
    <x v="17"/>
    <x v="18"/>
    <x v="17"/>
    <x v="0"/>
    <n v="407.40579600000001"/>
    <x v="0"/>
    <n v="301.39714500000002"/>
    <n v="204.90848658000002"/>
    <x v="0"/>
    <n v="130.68000000000004"/>
    <n v="10.393005"/>
    <x v="4"/>
    <m/>
    <m/>
  </r>
  <r>
    <s v="CMF039"/>
    <s v="Instructor, English Basic Skls"/>
    <s v="@00425782"/>
    <s v="Crow, Matthew"/>
    <s v="03"/>
    <x v="14"/>
    <x v="3"/>
    <x v="8"/>
    <x v="0"/>
    <x v="0"/>
    <x v="0"/>
    <x v="0"/>
    <x v="0"/>
    <s v="140HR0"/>
    <x v="4"/>
    <x v="7"/>
    <x v="0"/>
    <x v="0"/>
    <x v="1"/>
    <x v="3"/>
    <n v="116835.36"/>
    <n v="58417.68"/>
    <n v="21537.544503982754"/>
    <n v="79955.224503982754"/>
    <x v="5"/>
    <x v="1"/>
    <x v="19"/>
    <x v="1"/>
    <x v="0"/>
    <n v="1144.9865279999999"/>
    <x v="0"/>
    <n v="847.05636000000004"/>
    <n v="575.88148944"/>
    <x v="0"/>
    <n v="326.70000000000005"/>
    <n v="29.208840000000002"/>
    <x v="5"/>
    <m/>
    <m/>
  </r>
  <r>
    <s v="DMC016"/>
    <s v="Benefits Specialist"/>
    <s v="@00057669"/>
    <s v="Banducci, Gina D."/>
    <s v="445"/>
    <x v="7"/>
    <x v="0"/>
    <x v="0"/>
    <x v="0"/>
    <x v="0"/>
    <x v="0"/>
    <x v="0"/>
    <x v="0"/>
    <s v="140HR0"/>
    <x v="4"/>
    <x v="0"/>
    <x v="5"/>
    <x v="0"/>
    <x v="0"/>
    <x v="0"/>
    <n v="56843.040000000001"/>
    <n v="56843.040000000001"/>
    <n v="36647.363661405499"/>
    <n v="93490.403661405493"/>
    <x v="0"/>
    <x v="0"/>
    <x v="0"/>
    <x v="0"/>
    <x v="0"/>
    <n v="1114.1235839999999"/>
    <x v="0"/>
    <n v="824.22408000000007"/>
    <n v="560.35868832000006"/>
    <x v="0"/>
    <n v="562.74609600000008"/>
    <n v="28.421520000000001"/>
    <x v="0"/>
    <n v="3524.2684800000002"/>
    <n v="11766.50928"/>
  </r>
  <r>
    <s v="DMC129"/>
    <s v="Department Assistant III"/>
    <s v="@00110084"/>
    <s v="Johnson, Tina M."/>
    <s v="380"/>
    <x v="14"/>
    <x v="0"/>
    <x v="0"/>
    <x v="0"/>
    <x v="0"/>
    <x v="0"/>
    <x v="0"/>
    <x v="0"/>
    <s v="140HR0"/>
    <x v="4"/>
    <x v="0"/>
    <x v="5"/>
    <x v="0"/>
    <x v="0"/>
    <x v="0"/>
    <n v="54104.04"/>
    <n v="54104.04"/>
    <n v="35761.686099405502"/>
    <n v="89865.726099405496"/>
    <x v="0"/>
    <x v="0"/>
    <x v="0"/>
    <x v="0"/>
    <x v="0"/>
    <n v="1060.4391840000001"/>
    <x v="0"/>
    <n v="784.50858000000005"/>
    <n v="533.35762632000001"/>
    <x v="0"/>
    <n v="535.62999600000001"/>
    <n v="27.052020000000002"/>
    <x v="0"/>
    <n v="3354.45048"/>
    <n v="11199.53628"/>
  </r>
  <r>
    <s v="DMC161"/>
    <s v="Human Resources Tech- Benefits"/>
    <m/>
    <m/>
    <n v="435"/>
    <x v="5"/>
    <x v="0"/>
    <x v="0"/>
    <x v="0"/>
    <x v="0"/>
    <x v="0"/>
    <x v="0"/>
    <x v="0"/>
    <s v="140HR0"/>
    <x v="4"/>
    <x v="0"/>
    <x v="5"/>
    <x v="0"/>
    <x v="0"/>
    <x v="0"/>
    <n v="52784.39"/>
    <n v="52784.39"/>
    <n v="35334.966714705501"/>
    <n v="88119.3567147055"/>
    <x v="0"/>
    <x v="0"/>
    <x v="0"/>
    <x v="0"/>
    <x v="0"/>
    <n v="1034.574044"/>
    <x v="0"/>
    <n v="765.37365499999999"/>
    <n v="520.34851662000005"/>
    <x v="0"/>
    <n v="522.56546100000003"/>
    <n v="26.392195000000001"/>
    <x v="0"/>
    <n v="3272.6321800000001"/>
    <n v="10926.36873"/>
  </r>
  <r>
    <s v="DML002"/>
    <s v="Human Resources Specialist"/>
    <s v="@00450182"/>
    <s v="Calderon, Amalia"/>
    <s v="E"/>
    <x v="13"/>
    <x v="1"/>
    <x v="2"/>
    <x v="0"/>
    <x v="0"/>
    <x v="0"/>
    <x v="0"/>
    <x v="0"/>
    <s v="140HR0"/>
    <x v="4"/>
    <x v="2"/>
    <x v="5"/>
    <x v="0"/>
    <x v="0"/>
    <x v="0"/>
    <n v="73386.91"/>
    <n v="73386.91"/>
    <n v="41923.825967865501"/>
    <n v="115310.7359678655"/>
    <x v="0"/>
    <x v="0"/>
    <x v="0"/>
    <x v="0"/>
    <x v="0"/>
    <n v="1438.3834360000001"/>
    <x v="0"/>
    <n v="1064.1101950000002"/>
    <n v="723.44815878000009"/>
    <x v="0"/>
    <n v="653.40000000000009"/>
    <n v="36.693455"/>
    <x v="0"/>
    <n v="4549.9884200000006"/>
    <n v="15191.09037"/>
  </r>
  <r>
    <s v="DML003"/>
    <s v="Human Resources Specialist"/>
    <s v="@00032564"/>
    <s v="Duran, Virginia M."/>
    <s v="E"/>
    <x v="4"/>
    <x v="1"/>
    <x v="2"/>
    <x v="0"/>
    <x v="0"/>
    <x v="0"/>
    <x v="0"/>
    <x v="0"/>
    <s v="140HR0"/>
    <x v="4"/>
    <x v="2"/>
    <x v="5"/>
    <x v="0"/>
    <x v="0"/>
    <x v="0"/>
    <n v="85106.32"/>
    <n v="85106.32"/>
    <n v="45597.368787645493"/>
    <n v="130703.6887876455"/>
    <x v="0"/>
    <x v="0"/>
    <x v="0"/>
    <x v="0"/>
    <x v="0"/>
    <n v="1668.0838720000002"/>
    <x v="0"/>
    <n v="1234.0416400000001"/>
    <n v="838.97810256000014"/>
    <x v="0"/>
    <n v="653.40000000000009"/>
    <n v="42.553160000000005"/>
    <x v="0"/>
    <n v="5276.59184"/>
    <n v="17617.008239999999"/>
  </r>
  <r>
    <s v="DML010"/>
    <s v="Admin. Asst., Human Resources"/>
    <s v="@00615673"/>
    <s v="Barnes, Mary L."/>
    <s v="C"/>
    <x v="9"/>
    <x v="1"/>
    <x v="2"/>
    <x v="0"/>
    <x v="0"/>
    <x v="0"/>
    <x v="0"/>
    <x v="0"/>
    <s v="140HR0"/>
    <x v="4"/>
    <x v="2"/>
    <x v="5"/>
    <x v="0"/>
    <x v="0"/>
    <x v="0"/>
    <n v="70040.86"/>
    <n v="70040.86"/>
    <n v="40874.9798269655"/>
    <n v="110915.8398269655"/>
    <x v="0"/>
    <x v="0"/>
    <x v="0"/>
    <x v="0"/>
    <x v="0"/>
    <n v="1372.8008560000001"/>
    <x v="0"/>
    <n v="1015.59247"/>
    <n v="690.46279788000004"/>
    <x v="0"/>
    <n v="653.40000000000009"/>
    <n v="35.020429999999998"/>
    <x v="0"/>
    <n v="4342.5333200000005"/>
    <n v="14498.45802"/>
  </r>
  <r>
    <s v="DML011"/>
    <s v="Human Resources Specialist"/>
    <s v="@00277115"/>
    <s v="Gonzalez, Anna M."/>
    <s v="E"/>
    <x v="7"/>
    <x v="1"/>
    <x v="2"/>
    <x v="0"/>
    <x v="0"/>
    <x v="0"/>
    <x v="0"/>
    <x v="0"/>
    <s v="140HR0"/>
    <x v="4"/>
    <x v="2"/>
    <x v="5"/>
    <x v="0"/>
    <x v="0"/>
    <x v="0"/>
    <n v="77102.12"/>
    <n v="77102.12"/>
    <n v="43088.388264045498"/>
    <n v="120190.50826404549"/>
    <x v="0"/>
    <x v="0"/>
    <x v="0"/>
    <x v="0"/>
    <x v="0"/>
    <n v="1511.2015519999998"/>
    <x v="0"/>
    <n v="1117.98074"/>
    <n v="760.07269896000003"/>
    <x v="0"/>
    <n v="653.40000000000009"/>
    <n v="38.55106"/>
    <x v="0"/>
    <n v="4780.3314399999999"/>
    <n v="15960.138839999998"/>
  </r>
  <r>
    <s v="DMN012"/>
    <s v="Vice Chancellor, HR"/>
    <s v="@00657590"/>
    <s v="Davis, Tonya K."/>
    <s v="M"/>
    <x v="4"/>
    <x v="1"/>
    <x v="1"/>
    <x v="0"/>
    <x v="0"/>
    <x v="0"/>
    <x v="0"/>
    <x v="0"/>
    <s v="140HR0"/>
    <x v="4"/>
    <x v="1"/>
    <x v="5"/>
    <x v="0"/>
    <x v="0"/>
    <x v="0"/>
    <n v="195493.05"/>
    <n v="195493.05"/>
    <n v="76318.2032999855"/>
    <n v="271811.25329998549"/>
    <x v="0"/>
    <x v="0"/>
    <x v="0"/>
    <x v="0"/>
    <x v="0"/>
    <n v="3831.6637799999999"/>
    <x v="0"/>
    <n v="2834.6492250000001"/>
    <n v="1927.1704869"/>
    <x v="0"/>
    <n v="653.40000000000009"/>
    <n v="97.746524999999991"/>
    <x v="0"/>
    <n v="8239.7999999999993"/>
    <n v="40467.061349999996"/>
  </r>
  <r>
    <s v="DMN023"/>
    <s v="Director, Human Resources"/>
    <s v="@00709974"/>
    <s v="Blodorn, Lori"/>
    <s v="K"/>
    <x v="9"/>
    <x v="1"/>
    <x v="1"/>
    <x v="0"/>
    <x v="0"/>
    <x v="0"/>
    <x v="0"/>
    <x v="0"/>
    <s v="140HR0"/>
    <x v="4"/>
    <x v="1"/>
    <x v="5"/>
    <x v="0"/>
    <x v="0"/>
    <x v="0"/>
    <n v="132018.32"/>
    <n v="132018.32"/>
    <n v="60302.310483645502"/>
    <n v="192320.63048364551"/>
    <x v="0"/>
    <x v="0"/>
    <x v="0"/>
    <x v="0"/>
    <x v="0"/>
    <n v="2587.559072"/>
    <x v="0"/>
    <n v="1914.2656400000003"/>
    <n v="1301.4365985600002"/>
    <x v="0"/>
    <n v="653.40000000000009"/>
    <n v="66.009160000000008"/>
    <x v="0"/>
    <n v="8185.1358400000008"/>
    <n v="27327.792239999999"/>
  </r>
  <r>
    <s v="DTC016"/>
    <s v="Department Asst III - TEMP"/>
    <m/>
    <m/>
    <m/>
    <x v="6"/>
    <x v="0"/>
    <x v="4"/>
    <x v="0"/>
    <x v="1"/>
    <x v="1"/>
    <x v="1"/>
    <x v="0"/>
    <s v="140HR0"/>
    <x v="4"/>
    <x v="4"/>
    <x v="5"/>
    <x v="0"/>
    <x v="0"/>
    <x v="4"/>
    <m/>
    <n v="0"/>
    <n v="0"/>
    <n v="0"/>
    <x v="5"/>
    <x v="5"/>
    <x v="5"/>
    <x v="2"/>
    <x v="0"/>
    <n v="0"/>
    <x v="0"/>
    <n v="0"/>
    <n v="0"/>
    <x v="0"/>
    <n v="0"/>
    <n v="0"/>
    <x v="0"/>
    <n v="0"/>
    <n v="0"/>
  </r>
  <r>
    <s v="DTC044"/>
    <s v="Administrative Assistant - Tem"/>
    <m/>
    <m/>
    <m/>
    <x v="6"/>
    <x v="0"/>
    <x v="4"/>
    <x v="0"/>
    <x v="1"/>
    <x v="1"/>
    <x v="1"/>
    <x v="0"/>
    <s v="140HR0"/>
    <x v="4"/>
    <x v="4"/>
    <x v="5"/>
    <x v="0"/>
    <x v="0"/>
    <x v="4"/>
    <m/>
    <n v="0"/>
    <n v="0"/>
    <n v="0"/>
    <x v="5"/>
    <x v="5"/>
    <x v="5"/>
    <x v="2"/>
    <x v="0"/>
    <n v="0"/>
    <x v="0"/>
    <n v="0"/>
    <n v="0"/>
    <x v="0"/>
    <n v="0"/>
    <n v="0"/>
    <x v="0"/>
    <n v="0"/>
    <n v="0"/>
  </r>
  <r>
    <s v="PMF073"/>
    <s v="Instructor, English"/>
    <s v="@00002937"/>
    <s v="Wagstaff, Ann M."/>
    <s v="05"/>
    <x v="14"/>
    <x v="3"/>
    <x v="8"/>
    <x v="0"/>
    <x v="0"/>
    <x v="0"/>
    <x v="0"/>
    <x v="0"/>
    <s v="140HR0"/>
    <x v="4"/>
    <x v="7"/>
    <x v="5"/>
    <x v="0"/>
    <x v="0"/>
    <x v="17"/>
    <n v="133764.5067"/>
    <n v="23408.788672499999"/>
    <n v="8093.1868857007157"/>
    <n v="31501.975558200713"/>
    <x v="5"/>
    <x v="18"/>
    <x v="20"/>
    <x v="18"/>
    <x v="0"/>
    <n v="458.81225798099996"/>
    <x v="0"/>
    <n v="339.42743575125002"/>
    <n v="230.763838733505"/>
    <x v="0"/>
    <n v="114.34500000000001"/>
    <n v="11.704394336249999"/>
    <x v="6"/>
    <m/>
    <m/>
  </r>
  <r>
    <s v="PMF154"/>
    <s v="Instructor, History"/>
    <s v="@00000336"/>
    <s v="Hargis, Jay J."/>
    <s v="04"/>
    <x v="14"/>
    <x v="3"/>
    <x v="8"/>
    <x v="0"/>
    <x v="0"/>
    <x v="0"/>
    <x v="0"/>
    <x v="0"/>
    <s v="140HR0"/>
    <x v="4"/>
    <x v="7"/>
    <x v="5"/>
    <x v="0"/>
    <x v="0"/>
    <x v="16"/>
    <n v="125015.23149999999"/>
    <n v="25003.046300000002"/>
    <n v="8951.9597964725035"/>
    <n v="33955.006096472505"/>
    <x v="5"/>
    <x v="17"/>
    <x v="18"/>
    <x v="17"/>
    <x v="0"/>
    <n v="490.05970748000004"/>
    <x v="0"/>
    <n v="362.54417135000006"/>
    <n v="246.48003042540003"/>
    <x v="0"/>
    <n v="130.68000000000004"/>
    <n v="12.501523150000001"/>
    <x v="7"/>
    <m/>
    <m/>
  </r>
  <r>
    <s v="DMC169"/>
    <s v="Coordinator, Risk Mgmt &amp; Safet"/>
    <s v="@00003484"/>
    <s v="Shearer, Sheila J."/>
    <s v="490"/>
    <x v="11"/>
    <x v="0"/>
    <x v="0"/>
    <x v="0"/>
    <x v="0"/>
    <x v="0"/>
    <x v="0"/>
    <x v="0"/>
    <s v="140HR6"/>
    <x v="4"/>
    <x v="0"/>
    <x v="7"/>
    <x v="0"/>
    <x v="0"/>
    <x v="0"/>
    <n v="80317.679999999993"/>
    <n v="80317.679999999993"/>
    <n v="44096.331270525494"/>
    <n v="124414.01127052549"/>
    <x v="0"/>
    <x v="0"/>
    <x v="0"/>
    <x v="0"/>
    <x v="0"/>
    <n v="1574.2265279999999"/>
    <x v="0"/>
    <n v="1164.60636"/>
    <n v="791.77168943999993"/>
    <x v="0"/>
    <n v="653.40000000000009"/>
    <n v="40.158839999999998"/>
    <x v="0"/>
    <n v="4979.6961599999995"/>
    <n v="16625.759759999997"/>
  </r>
  <r>
    <s v="DMN053"/>
    <s v="Exec Dir-Risk Assmnt &amp; Mgt"/>
    <s v="@00006644"/>
    <s v="Grubbs, Joseph E."/>
    <s v="J"/>
    <x v="9"/>
    <x v="1"/>
    <x v="1"/>
    <x v="0"/>
    <x v="0"/>
    <x v="0"/>
    <x v="0"/>
    <x v="0"/>
    <s v="140HR6"/>
    <x v="4"/>
    <x v="1"/>
    <x v="7"/>
    <x v="0"/>
    <x v="0"/>
    <x v="0"/>
    <n v="124351.96"/>
    <n v="124351.96"/>
    <n v="57899.228610765502"/>
    <n v="182251.1886107655"/>
    <x v="0"/>
    <x v="0"/>
    <x v="0"/>
    <x v="0"/>
    <x v="0"/>
    <n v="2437.2984160000001"/>
    <x v="0"/>
    <n v="1803.1034200000001"/>
    <n v="1225.8616216800001"/>
    <x v="0"/>
    <n v="653.40000000000009"/>
    <n v="62.175980000000003"/>
    <x v="0"/>
    <n v="7709.8215200000004"/>
    <n v="25740.85572"/>
  </r>
  <r>
    <s v="DMC167"/>
    <s v="Payroll Specialist"/>
    <s v="@00554644"/>
    <s v="Olmos Herrera, Beatriz"/>
    <s v="455"/>
    <x v="13"/>
    <x v="0"/>
    <x v="0"/>
    <x v="0"/>
    <x v="0"/>
    <x v="0"/>
    <x v="0"/>
    <x v="0"/>
    <s v="140HR8"/>
    <x v="4"/>
    <x v="0"/>
    <x v="5"/>
    <x v="0"/>
    <x v="0"/>
    <x v="0"/>
    <n v="56843.03"/>
    <n v="56843.03"/>
    <n v="36647.360427825508"/>
    <n v="93490.390427825507"/>
    <x v="0"/>
    <x v="0"/>
    <x v="0"/>
    <x v="0"/>
    <x v="0"/>
    <n v="1114.123388"/>
    <x v="0"/>
    <n v="824.22393499999998"/>
    <n v="560.35858974000007"/>
    <x v="0"/>
    <n v="562.74599699999999"/>
    <n v="28.421514999999999"/>
    <x v="0"/>
    <n v="3524.2678599999999"/>
    <n v="11766.50721"/>
  </r>
  <r>
    <s v="DMC168"/>
    <s v="Payroll Specialist"/>
    <s v="@00063312"/>
    <s v="Goin, Stephanie M."/>
    <s v="455"/>
    <x v="10"/>
    <x v="0"/>
    <x v="0"/>
    <x v="0"/>
    <x v="0"/>
    <x v="0"/>
    <x v="0"/>
    <x v="0"/>
    <s v="140HR8"/>
    <x v="4"/>
    <x v="0"/>
    <x v="5"/>
    <x v="0"/>
    <x v="0"/>
    <x v="0"/>
    <n v="69257.64"/>
    <n v="69257.64"/>
    <n v="40629.473252205498"/>
    <n v="109887.1132522055"/>
    <x v="0"/>
    <x v="0"/>
    <x v="0"/>
    <x v="0"/>
    <x v="0"/>
    <n v="1357.449744"/>
    <x v="0"/>
    <n v="1004.2357800000001"/>
    <n v="682.74181512000007"/>
    <x v="0"/>
    <n v="653.40000000000009"/>
    <n v="34.628819999999997"/>
    <x v="0"/>
    <n v="4293.9736800000001"/>
    <n v="14336.331479999999"/>
  </r>
  <r>
    <s v="DMN018"/>
    <s v="Payroll Manager"/>
    <s v="@00003678"/>
    <s v="McAbee, Kimberly D."/>
    <s v="G"/>
    <x v="9"/>
    <x v="1"/>
    <x v="1"/>
    <x v="0"/>
    <x v="0"/>
    <x v="0"/>
    <x v="0"/>
    <x v="0"/>
    <s v="140HR8"/>
    <x v="4"/>
    <x v="1"/>
    <x v="5"/>
    <x v="0"/>
    <x v="0"/>
    <x v="0"/>
    <n v="96517.23"/>
    <n v="96517.23"/>
    <n v="49174.2098144255"/>
    <n v="145691.43981442548"/>
    <x v="0"/>
    <x v="0"/>
    <x v="0"/>
    <x v="0"/>
    <x v="0"/>
    <n v="1891.7377079999999"/>
    <x v="0"/>
    <n v="1399.4998350000001"/>
    <n v="951.46685334000006"/>
    <x v="0"/>
    <n v="653.40000000000009"/>
    <n v="48.258614999999999"/>
    <x v="0"/>
    <n v="5984.06826"/>
    <n v="19979.066609999998"/>
  </r>
  <r>
    <s v="DMC087"/>
    <s v="Human Resources Assistant"/>
    <s v="@00451196"/>
    <s v="Carlson, Lori D."/>
    <s v="425"/>
    <x v="1"/>
    <x v="0"/>
    <x v="0"/>
    <x v="0"/>
    <x v="0"/>
    <x v="0"/>
    <x v="0"/>
    <x v="0"/>
    <s v="145HR3"/>
    <x v="4"/>
    <x v="0"/>
    <x v="5"/>
    <x v="0"/>
    <x v="0"/>
    <x v="0"/>
    <n v="55456.56"/>
    <n v="55456.56"/>
    <n v="36199.034261565495"/>
    <n v="91655.594261565493"/>
    <x v="0"/>
    <x v="0"/>
    <x v="0"/>
    <x v="0"/>
    <x v="0"/>
    <n v="1086.948576"/>
    <x v="0"/>
    <n v="804.12012000000004"/>
    <n v="546.69076847999997"/>
    <x v="0"/>
    <n v="549.01994400000001"/>
    <n v="27.728279999999998"/>
    <x v="0"/>
    <n v="3438.30672"/>
    <n v="11479.507919999998"/>
  </r>
  <r>
    <s v="DMC108"/>
    <s v="Department Assistant III"/>
    <s v="@00682287"/>
    <s v="Fisher, Johanna G."/>
    <s v="380"/>
    <x v="2"/>
    <x v="0"/>
    <x v="0"/>
    <x v="0"/>
    <x v="0"/>
    <x v="0"/>
    <x v="0"/>
    <x v="0"/>
    <s v="145HR3"/>
    <x v="4"/>
    <x v="0"/>
    <x v="5"/>
    <x v="0"/>
    <x v="0"/>
    <x v="0"/>
    <n v="40229.279999999999"/>
    <n v="40229.279999999999"/>
    <n v="31275.171455325501"/>
    <n v="71504.451455325499"/>
    <x v="0"/>
    <x v="0"/>
    <x v="0"/>
    <x v="0"/>
    <x v="0"/>
    <n v="788.49388799999997"/>
    <x v="0"/>
    <n v="583.32456000000002"/>
    <n v="396.58024224000002"/>
    <x v="0"/>
    <n v="398.26987200000002"/>
    <n v="20.114640000000001"/>
    <x v="0"/>
    <n v="2494.2153599999997"/>
    <n v="8327.4609599999985"/>
  </r>
  <r>
    <s v="DMC141"/>
    <s v="Human Resources Technician"/>
    <s v="@00366128"/>
    <s v="Quintero, Karla Y"/>
    <s v="435"/>
    <x v="9"/>
    <x v="0"/>
    <x v="0"/>
    <x v="0"/>
    <x v="0"/>
    <x v="0"/>
    <x v="0"/>
    <x v="0"/>
    <s v="145HR3"/>
    <x v="4"/>
    <x v="0"/>
    <x v="5"/>
    <x v="0"/>
    <x v="0"/>
    <x v="0"/>
    <n v="56843.040000000001"/>
    <n v="56843.040000000001"/>
    <n v="36647.363661405499"/>
    <n v="93490.403661405493"/>
    <x v="0"/>
    <x v="0"/>
    <x v="0"/>
    <x v="0"/>
    <x v="0"/>
    <n v="1114.1235839999999"/>
    <x v="0"/>
    <n v="824.22408000000007"/>
    <n v="560.35868832000006"/>
    <x v="0"/>
    <n v="562.74609600000008"/>
    <n v="28.421520000000001"/>
    <x v="0"/>
    <n v="3524.2684800000002"/>
    <n v="11766.50928"/>
  </r>
  <r>
    <s v="DMC145"/>
    <s v="Human Resources Assistant"/>
    <s v="@00056918"/>
    <s v="Blanco, Trudi L."/>
    <s v="425"/>
    <x v="2"/>
    <x v="0"/>
    <x v="0"/>
    <x v="0"/>
    <x v="0"/>
    <x v="0"/>
    <x v="0"/>
    <x v="0"/>
    <s v="145HR3"/>
    <x v="4"/>
    <x v="0"/>
    <x v="5"/>
    <x v="0"/>
    <x v="0"/>
    <x v="0"/>
    <n v="50240.88"/>
    <n v="50240.88"/>
    <n v="34512.502408125496"/>
    <n v="84753.382408125501"/>
    <x v="0"/>
    <x v="0"/>
    <x v="0"/>
    <x v="0"/>
    <x v="0"/>
    <n v="984.72124799999995"/>
    <x v="0"/>
    <n v="728.49275999999998"/>
    <n v="495.27459504000001"/>
    <x v="0"/>
    <n v="497.38471200000004"/>
    <n v="25.120439999999999"/>
    <x v="0"/>
    <n v="3114.9345599999997"/>
    <n v="10399.862159999999"/>
  </r>
  <r>
    <s v="DMN019"/>
    <s v="College HR Manager-BC"/>
    <s v="@00229958"/>
    <s v="Rhoades, Dena R."/>
    <s v="G"/>
    <x v="10"/>
    <x v="1"/>
    <x v="1"/>
    <x v="0"/>
    <x v="0"/>
    <x v="0"/>
    <x v="0"/>
    <x v="0"/>
    <s v="145HR3"/>
    <x v="4"/>
    <x v="1"/>
    <x v="5"/>
    <x v="0"/>
    <x v="0"/>
    <x v="0"/>
    <n v="106536.96000000001"/>
    <n v="106536.96000000001"/>
    <n v="52314.974340765504"/>
    <n v="158851.93434076553"/>
    <x v="0"/>
    <x v="0"/>
    <x v="0"/>
    <x v="0"/>
    <x v="0"/>
    <n v="2088.1244160000001"/>
    <x v="0"/>
    <n v="1544.7859200000003"/>
    <n v="1050.2413516800002"/>
    <x v="0"/>
    <n v="653.40000000000009"/>
    <n v="53.268480000000004"/>
    <x v="0"/>
    <n v="6605.2915200000007"/>
    <n v="22053.150720000001"/>
  </r>
  <r>
    <s v="DTC045"/>
    <s v="Classified Hourly"/>
    <s v="@00376520"/>
    <s v="Caballero, Judy M."/>
    <s v="435"/>
    <x v="5"/>
    <x v="0"/>
    <x v="4"/>
    <x v="0"/>
    <x v="1"/>
    <x v="0"/>
    <x v="2"/>
    <x v="0"/>
    <s v="145HR3"/>
    <x v="4"/>
    <x v="4"/>
    <x v="5"/>
    <x v="0"/>
    <x v="0"/>
    <x v="4"/>
    <m/>
    <n v="0"/>
    <n v="0"/>
    <n v="0"/>
    <x v="5"/>
    <x v="5"/>
    <x v="5"/>
    <x v="2"/>
    <x v="0"/>
    <n v="0"/>
    <x v="0"/>
    <n v="0"/>
    <n v="0"/>
    <x v="0"/>
    <n v="0"/>
    <n v="0"/>
    <x v="0"/>
    <n v="0"/>
    <n v="0"/>
  </r>
  <r>
    <s v="DMC086"/>
    <s v="Human Resources Assistant"/>
    <s v="@00218524"/>
    <s v="Porreco, Jennie E."/>
    <s v="425"/>
    <x v="14"/>
    <x v="0"/>
    <x v="0"/>
    <x v="0"/>
    <x v="0"/>
    <x v="0"/>
    <x v="0"/>
    <x v="0"/>
    <s v="145HR4"/>
    <x v="4"/>
    <x v="0"/>
    <x v="5"/>
    <x v="0"/>
    <x v="0"/>
    <x v="0"/>
    <n v="67568.399999999994"/>
    <n v="67568.399999999994"/>
    <n v="40099.967460285494"/>
    <n v="107668.36746028549"/>
    <x v="0"/>
    <x v="0"/>
    <x v="0"/>
    <x v="0"/>
    <x v="0"/>
    <n v="1324.3406399999999"/>
    <x v="0"/>
    <n v="979.74180000000001"/>
    <n v="666.08928719999994"/>
    <x v="0"/>
    <n v="653.40000000000009"/>
    <n v="33.784199999999998"/>
    <x v="0"/>
    <n v="4189.2407999999996"/>
    <n v="13986.658799999997"/>
  </r>
  <r>
    <s v="DMC157"/>
    <s v="Human Resources Assistant-PC"/>
    <s v="@00657178"/>
    <s v="Martinez, Klautitsy"/>
    <s v="425"/>
    <x v="2"/>
    <x v="0"/>
    <x v="9"/>
    <x v="0"/>
    <x v="2"/>
    <x v="2"/>
    <x v="5"/>
    <x v="0"/>
    <s v="145HR4"/>
    <x v="4"/>
    <x v="0"/>
    <x v="5"/>
    <x v="0"/>
    <x v="0"/>
    <x v="0"/>
    <n v="23864.417999999998"/>
    <n v="23864.417999999998"/>
    <n v="1476.205168644"/>
    <n v="25340.623168643997"/>
    <x v="5"/>
    <x v="5"/>
    <x v="5"/>
    <x v="2"/>
    <x v="0"/>
    <n v="0"/>
    <x v="3"/>
    <n v="346.03406100000001"/>
    <n v="235.255432644"/>
    <x v="0"/>
    <n v="0"/>
    <n v="11.932208999999999"/>
    <x v="0"/>
    <m/>
    <m/>
  </r>
  <r>
    <s v="DMN020"/>
    <s v="College HR Manager-PC"/>
    <s v="@00025056"/>
    <s v="VanDerHorst, Anne M."/>
    <s v="G"/>
    <x v="10"/>
    <x v="1"/>
    <x v="1"/>
    <x v="0"/>
    <x v="0"/>
    <x v="0"/>
    <x v="0"/>
    <x v="0"/>
    <s v="145HR4"/>
    <x v="4"/>
    <x v="1"/>
    <x v="5"/>
    <x v="0"/>
    <x v="0"/>
    <x v="0"/>
    <n v="106536.96000000001"/>
    <n v="106536.96000000001"/>
    <n v="52314.974340765504"/>
    <n v="158851.93434076553"/>
    <x v="0"/>
    <x v="0"/>
    <x v="0"/>
    <x v="0"/>
    <x v="0"/>
    <n v="2088.1244160000001"/>
    <x v="0"/>
    <n v="1544.7859200000003"/>
    <n v="1050.2413516800002"/>
    <x v="0"/>
    <n v="653.40000000000009"/>
    <n v="53.268480000000004"/>
    <x v="0"/>
    <n v="6605.2915200000007"/>
    <n v="22053.150720000001"/>
  </r>
  <r>
    <s v="DMC131"/>
    <s v="Human Resources Assistant - CC"/>
    <s v="@00109804"/>
    <s v="Guzman, Cynthia E."/>
    <s v="425"/>
    <x v="0"/>
    <x v="0"/>
    <x v="0"/>
    <x v="0"/>
    <x v="0"/>
    <x v="0"/>
    <x v="0"/>
    <x v="0"/>
    <s v="145HR5"/>
    <x v="4"/>
    <x v="0"/>
    <x v="5"/>
    <x v="0"/>
    <x v="0"/>
    <x v="0"/>
    <n v="52784.39"/>
    <n v="52784.39"/>
    <n v="35334.966714705501"/>
    <n v="88119.3567147055"/>
    <x v="0"/>
    <x v="0"/>
    <x v="0"/>
    <x v="0"/>
    <x v="0"/>
    <n v="1034.574044"/>
    <x v="0"/>
    <n v="765.37365499999999"/>
    <n v="520.34851662000005"/>
    <x v="0"/>
    <n v="522.56546100000003"/>
    <n v="26.392195000000001"/>
    <x v="0"/>
    <n v="3272.6321800000001"/>
    <n v="10926.36873"/>
  </r>
  <r>
    <s v="DMN024"/>
    <s v="College HR Manager-CC"/>
    <s v="@00098174"/>
    <s v="Hess, Resa H."/>
    <s v="G"/>
    <x v="10"/>
    <x v="1"/>
    <x v="1"/>
    <x v="0"/>
    <x v="0"/>
    <x v="0"/>
    <x v="0"/>
    <x v="0"/>
    <s v="145HR5"/>
    <x v="4"/>
    <x v="1"/>
    <x v="5"/>
    <x v="0"/>
    <x v="0"/>
    <x v="0"/>
    <n v="106536.96000000001"/>
    <n v="106536.96000000001"/>
    <n v="52314.974340765504"/>
    <n v="158851.93434076553"/>
    <x v="0"/>
    <x v="0"/>
    <x v="0"/>
    <x v="0"/>
    <x v="0"/>
    <n v="2088.1244160000001"/>
    <x v="0"/>
    <n v="1544.7859200000003"/>
    <n v="1050.2413516800002"/>
    <x v="0"/>
    <n v="653.40000000000009"/>
    <n v="53.268480000000004"/>
    <x v="0"/>
    <n v="6605.2915200000007"/>
    <n v="22053.150720000001"/>
  </r>
  <r>
    <s v="DML016"/>
    <s v="Exec Asst, General Counsel"/>
    <s v="@00295882"/>
    <s v="Galindo, Suzanne M."/>
    <s v="E"/>
    <x v="8"/>
    <x v="1"/>
    <x v="2"/>
    <x v="0"/>
    <x v="0"/>
    <x v="0"/>
    <x v="0"/>
    <x v="0"/>
    <s v="150LE0"/>
    <x v="5"/>
    <x v="2"/>
    <x v="8"/>
    <x v="0"/>
    <x v="0"/>
    <x v="0"/>
    <n v="93941.45"/>
    <n v="93941.45"/>
    <n v="48366.810967185498"/>
    <n v="142308.26096718549"/>
    <x v="0"/>
    <x v="0"/>
    <x v="0"/>
    <x v="0"/>
    <x v="0"/>
    <n v="1841.2524199999998"/>
    <x v="0"/>
    <n v="1362.1510250000001"/>
    <n v="926.07481410000003"/>
    <x v="0"/>
    <n v="653.40000000000009"/>
    <n v="46.970725000000002"/>
    <x v="0"/>
    <n v="5824.3698999999997"/>
    <n v="19445.880149999997"/>
  </r>
  <r>
    <s v="DMN039"/>
    <s v="General Counsel"/>
    <s v="@00545453"/>
    <s v="Hine, Christopher W."/>
    <s v="M"/>
    <x v="3"/>
    <x v="1"/>
    <x v="1"/>
    <x v="0"/>
    <x v="0"/>
    <x v="0"/>
    <x v="0"/>
    <x v="0"/>
    <s v="150LE0"/>
    <x v="5"/>
    <x v="1"/>
    <x v="8"/>
    <x v="0"/>
    <x v="0"/>
    <x v="0"/>
    <n v="210524.63"/>
    <n v="210524.63"/>
    <n v="80098.014343625488"/>
    <n v="290622.64434362552"/>
    <x v="0"/>
    <x v="0"/>
    <x v="0"/>
    <x v="0"/>
    <x v="0"/>
    <n v="4126.2827479999996"/>
    <x v="0"/>
    <n v="3052.6071350000002"/>
    <n v="2075.3518025400003"/>
    <x v="0"/>
    <n v="653.40000000000009"/>
    <n v="105.262315"/>
    <x v="0"/>
    <n v="8239.7999999999993"/>
    <n v="43578.598409999999"/>
  </r>
  <r>
    <s v="DMN055"/>
    <s v="Manager-IT Enterprise Projects"/>
    <m/>
    <m/>
    <m/>
    <x v="6"/>
    <x v="1"/>
    <x v="1"/>
    <x v="0"/>
    <x v="1"/>
    <x v="1"/>
    <x v="1"/>
    <x v="0"/>
    <s v="160OP0"/>
    <x v="6"/>
    <x v="1"/>
    <x v="4"/>
    <x v="0"/>
    <x v="0"/>
    <x v="4"/>
    <m/>
    <n v="0"/>
    <n v="0"/>
    <n v="0"/>
    <x v="5"/>
    <x v="5"/>
    <x v="5"/>
    <x v="2"/>
    <x v="0"/>
    <n v="0"/>
    <x v="0"/>
    <n v="0"/>
    <n v="0"/>
    <x v="0"/>
    <n v="0"/>
    <n v="0"/>
    <x v="0"/>
    <n v="0"/>
    <n v="0"/>
  </r>
  <r>
    <s v="DMC116"/>
    <s v="Accounting Coordinator"/>
    <s v="@00355529"/>
    <s v="Cisneros, Rafaela T."/>
    <s v="465"/>
    <x v="12"/>
    <x v="0"/>
    <x v="0"/>
    <x v="0"/>
    <x v="0"/>
    <x v="0"/>
    <x v="0"/>
    <x v="12"/>
    <s v="18F000"/>
    <x v="7"/>
    <x v="0"/>
    <x v="9"/>
    <x v="0"/>
    <x v="0"/>
    <x v="16"/>
    <n v="80317.726800000004"/>
    <n v="16063.545360000002"/>
    <n v="8819.2691880719813"/>
    <n v="24882.814548071983"/>
    <x v="17"/>
    <x v="17"/>
    <x v="21"/>
    <x v="17"/>
    <x v="0"/>
    <n v="314.84548905600002"/>
    <x v="0"/>
    <n v="232.92140772000005"/>
    <n v="158.35443015888004"/>
    <x v="0"/>
    <n v="130.68000000000004"/>
    <n v="8.0317726800000013"/>
    <x v="0"/>
    <n v="995.9398123200001"/>
    <n v="3325.1538895200001"/>
  </r>
  <r>
    <s v="DMC116"/>
    <s v="Accounting Coordinator"/>
    <s v="@00355529"/>
    <s v="Cisneros, Rafaela T."/>
    <s v="465"/>
    <x v="12"/>
    <x v="0"/>
    <x v="0"/>
    <x v="0"/>
    <x v="0"/>
    <x v="0"/>
    <x v="0"/>
    <x v="13"/>
    <s v="18F000"/>
    <x v="7"/>
    <x v="0"/>
    <x v="9"/>
    <x v="0"/>
    <x v="0"/>
    <x v="18"/>
    <n v="80317.726800000004"/>
    <n v="64254.181440000008"/>
    <n v="35277.076752287925"/>
    <n v="99531.258192287933"/>
    <x v="18"/>
    <x v="19"/>
    <x v="22"/>
    <x v="19"/>
    <x v="0"/>
    <n v="1259.3819562240001"/>
    <x v="0"/>
    <n v="931.68563088000019"/>
    <n v="633.41772063552014"/>
    <x v="0"/>
    <n v="522.72000000000014"/>
    <n v="32.127090720000005"/>
    <x v="0"/>
    <n v="3983.7592492800004"/>
    <n v="13300.61555808"/>
  </r>
  <r>
    <s v="DMC118"/>
    <s v="Administrative Assistant"/>
    <s v="@00486139"/>
    <s v="Crews, Kimberly A."/>
    <s v="445"/>
    <x v="12"/>
    <x v="0"/>
    <x v="0"/>
    <x v="0"/>
    <x v="0"/>
    <x v="0"/>
    <x v="0"/>
    <x v="12"/>
    <s v="18F000"/>
    <x v="7"/>
    <x v="0"/>
    <x v="9"/>
    <x v="0"/>
    <x v="0"/>
    <x v="16"/>
    <n v="72763.838900000032"/>
    <n v="14552.767780000007"/>
    <n v="8345.7038694003422"/>
    <n v="22898.471649400351"/>
    <x v="17"/>
    <x v="17"/>
    <x v="21"/>
    <x v="17"/>
    <x v="0"/>
    <n v="285.23424848800016"/>
    <x v="0"/>
    <n v="211.01513281000013"/>
    <n v="143.46118477524007"/>
    <x v="0"/>
    <n v="130.68000000000004"/>
    <n v="7.2763838900000035"/>
    <x v="0"/>
    <n v="902.27160236000043"/>
    <n v="3012.4229304600012"/>
  </r>
  <r>
    <s v="DMC118"/>
    <s v="Administrative Assistant"/>
    <s v="@00486139"/>
    <s v="Crews, Kimberly A."/>
    <s v="445"/>
    <x v="12"/>
    <x v="0"/>
    <x v="0"/>
    <x v="0"/>
    <x v="0"/>
    <x v="0"/>
    <x v="0"/>
    <x v="13"/>
    <s v="18F000"/>
    <x v="7"/>
    <x v="0"/>
    <x v="9"/>
    <x v="0"/>
    <x v="0"/>
    <x v="18"/>
    <n v="72763.838900000032"/>
    <n v="58211.07112000003"/>
    <n v="33382.815477601369"/>
    <n v="91593.886597601406"/>
    <x v="18"/>
    <x v="19"/>
    <x v="22"/>
    <x v="19"/>
    <x v="0"/>
    <n v="1140.9369939520006"/>
    <x v="0"/>
    <n v="844.0605312400005"/>
    <n v="573.84473910096028"/>
    <x v="0"/>
    <n v="522.72000000000014"/>
    <n v="29.105535560000014"/>
    <x v="0"/>
    <n v="3609.0864094400017"/>
    <n v="12049.691721840005"/>
  </r>
  <r>
    <s v="DMN021"/>
    <s v="Construction Project Manager"/>
    <s v="@00410497"/>
    <s v="DeRosa, Joseph J."/>
    <s v="G"/>
    <x v="8"/>
    <x v="1"/>
    <x v="1"/>
    <x v="0"/>
    <x v="0"/>
    <x v="0"/>
    <x v="0"/>
    <x v="13"/>
    <s v="18F000"/>
    <x v="7"/>
    <x v="1"/>
    <x v="9"/>
    <x v="0"/>
    <x v="0"/>
    <x v="18"/>
    <n v="117770.98"/>
    <n v="94216.784"/>
    <n v="44669.094225540401"/>
    <n v="138885.87822554039"/>
    <x v="18"/>
    <x v="19"/>
    <x v="22"/>
    <x v="19"/>
    <x v="0"/>
    <n v="1846.6489663999998"/>
    <x v="0"/>
    <n v="1366.143368"/>
    <n v="928.78905667200002"/>
    <x v="0"/>
    <n v="522.72000000000014"/>
    <n v="47.108392000000002"/>
    <x v="0"/>
    <n v="5841.4406079999999"/>
    <n v="19502.874287999999"/>
  </r>
  <r>
    <s v="DMN021"/>
    <s v="Construction Project Manager"/>
    <s v="@00410497"/>
    <s v="DeRosa, Joseph J."/>
    <s v="G"/>
    <x v="8"/>
    <x v="1"/>
    <x v="1"/>
    <x v="0"/>
    <x v="0"/>
    <x v="0"/>
    <x v="0"/>
    <x v="12"/>
    <s v="18F000"/>
    <x v="7"/>
    <x v="1"/>
    <x v="9"/>
    <x v="0"/>
    <x v="0"/>
    <x v="16"/>
    <n v="117770.98"/>
    <n v="23554.196"/>
    <n v="11167.2735563851"/>
    <n v="34721.469556385098"/>
    <x v="17"/>
    <x v="17"/>
    <x v="21"/>
    <x v="17"/>
    <x v="0"/>
    <n v="461.66224159999996"/>
    <x v="0"/>
    <n v="341.535842"/>
    <n v="232.197264168"/>
    <x v="0"/>
    <n v="130.68000000000004"/>
    <n v="11.777098000000001"/>
    <x v="0"/>
    <n v="1460.360152"/>
    <n v="4875.7185719999998"/>
  </r>
  <r>
    <s v="DMN033"/>
    <s v="Construction Project Manager"/>
    <s v="@00020504"/>
    <s v="Reed, Daniel W."/>
    <s v="G"/>
    <x v="8"/>
    <x v="1"/>
    <x v="1"/>
    <x v="0"/>
    <x v="0"/>
    <x v="0"/>
    <x v="0"/>
    <x v="12"/>
    <s v="18F000"/>
    <x v="7"/>
    <x v="1"/>
    <x v="10"/>
    <x v="0"/>
    <x v="0"/>
    <x v="16"/>
    <n v="117770.98"/>
    <n v="23554.196"/>
    <n v="11167.2735563851"/>
    <n v="34721.469556385098"/>
    <x v="17"/>
    <x v="17"/>
    <x v="21"/>
    <x v="17"/>
    <x v="0"/>
    <n v="461.66224159999996"/>
    <x v="0"/>
    <n v="341.535842"/>
    <n v="232.197264168"/>
    <x v="0"/>
    <n v="130.68000000000004"/>
    <n v="11.777098000000001"/>
    <x v="0"/>
    <n v="1460.360152"/>
    <n v="4875.7185719999998"/>
  </r>
  <r>
    <s v="DMN033"/>
    <s v="Construction Project Manager"/>
    <s v="@00020504"/>
    <s v="Reed, Daniel W."/>
    <s v="G"/>
    <x v="8"/>
    <x v="1"/>
    <x v="1"/>
    <x v="0"/>
    <x v="0"/>
    <x v="0"/>
    <x v="0"/>
    <x v="13"/>
    <s v="18F000"/>
    <x v="7"/>
    <x v="1"/>
    <x v="10"/>
    <x v="0"/>
    <x v="0"/>
    <x v="18"/>
    <n v="117770.98"/>
    <n v="94216.784"/>
    <n v="44669.094225540401"/>
    <n v="138885.87822554039"/>
    <x v="18"/>
    <x v="19"/>
    <x v="22"/>
    <x v="19"/>
    <x v="0"/>
    <n v="1846.6489663999998"/>
    <x v="0"/>
    <n v="1366.143368"/>
    <n v="928.78905667200002"/>
    <x v="0"/>
    <n v="522.72000000000014"/>
    <n v="47.108392000000002"/>
    <x v="0"/>
    <n v="5841.4406079999999"/>
    <n v="19502.874287999999"/>
  </r>
  <r>
    <s v="DMN041"/>
    <s v="Construction Project Manager"/>
    <s v="@00622576"/>
    <s v="Hernandez, Nicholas"/>
    <s v="G"/>
    <x v="8"/>
    <x v="1"/>
    <x v="1"/>
    <x v="0"/>
    <x v="0"/>
    <x v="0"/>
    <x v="0"/>
    <x v="13"/>
    <s v="18F000"/>
    <x v="7"/>
    <x v="1"/>
    <x v="9"/>
    <x v="0"/>
    <x v="0"/>
    <x v="18"/>
    <n v="120715.25"/>
    <n v="96572.200000000012"/>
    <n v="45407.418214068406"/>
    <n v="141979.61821406841"/>
    <x v="18"/>
    <x v="19"/>
    <x v="22"/>
    <x v="19"/>
    <x v="0"/>
    <n v="1892.8151200000002"/>
    <x v="0"/>
    <n v="1400.2969000000003"/>
    <n v="952.00874760000011"/>
    <x v="0"/>
    <n v="522.72000000000014"/>
    <n v="48.286100000000005"/>
    <x v="0"/>
    <n v="5987.4764000000005"/>
    <n v="19990.445400000001"/>
  </r>
  <r>
    <s v="DMN041"/>
    <s v="Construction Project Manager"/>
    <s v="@00622576"/>
    <s v="Hernandez, Nicholas"/>
    <s v="G"/>
    <x v="8"/>
    <x v="1"/>
    <x v="1"/>
    <x v="0"/>
    <x v="0"/>
    <x v="0"/>
    <x v="0"/>
    <x v="12"/>
    <s v="18F000"/>
    <x v="7"/>
    <x v="1"/>
    <x v="9"/>
    <x v="0"/>
    <x v="0"/>
    <x v="16"/>
    <n v="120715.25"/>
    <n v="24143.050000000003"/>
    <n v="11351.854553517102"/>
    <n v="35494.904553517103"/>
    <x v="17"/>
    <x v="17"/>
    <x v="21"/>
    <x v="17"/>
    <x v="0"/>
    <n v="473.20378000000005"/>
    <x v="0"/>
    <n v="350.07422500000007"/>
    <n v="238.00218690000003"/>
    <x v="0"/>
    <n v="130.68000000000004"/>
    <n v="12.071525000000001"/>
    <x v="0"/>
    <n v="1496.8691000000001"/>
    <n v="4997.6113500000001"/>
  </r>
  <r>
    <s v="DMN051"/>
    <s v="Assoc Vice Chan, Const &amp; Facil"/>
    <s v="@00205464"/>
    <s v="Mittlestead, Eric J."/>
    <s v="L"/>
    <x v="8"/>
    <x v="1"/>
    <x v="1"/>
    <x v="0"/>
    <x v="0"/>
    <x v="0"/>
    <x v="0"/>
    <x v="12"/>
    <s v="18F000"/>
    <x v="7"/>
    <x v="1"/>
    <x v="9"/>
    <x v="0"/>
    <x v="0"/>
    <x v="16"/>
    <n v="172538.91"/>
    <n v="34507.781999999999"/>
    <n v="14109.2402327731"/>
    <n v="48617.022232773103"/>
    <x v="17"/>
    <x v="17"/>
    <x v="21"/>
    <x v="17"/>
    <x v="0"/>
    <n v="676.35252719999994"/>
    <x v="0"/>
    <n v="500.36283900000001"/>
    <n v="340.17771495599999"/>
    <x v="0"/>
    <n v="130.68000000000004"/>
    <n v="17.253890999999999"/>
    <x v="0"/>
    <n v="1647.96"/>
    <n v="7143.1108739999991"/>
  </r>
  <r>
    <s v="DMN051"/>
    <s v="Assoc Vice Chan, Const &amp; Facil"/>
    <s v="@00205464"/>
    <s v="Mittlestead, Eric J."/>
    <s v="L"/>
    <x v="8"/>
    <x v="1"/>
    <x v="1"/>
    <x v="0"/>
    <x v="0"/>
    <x v="0"/>
    <x v="0"/>
    <x v="13"/>
    <s v="18F000"/>
    <x v="7"/>
    <x v="1"/>
    <x v="9"/>
    <x v="0"/>
    <x v="0"/>
    <x v="18"/>
    <n v="172538.91"/>
    <n v="138031.128"/>
    <n v="56436.960931092399"/>
    <n v="194468.08893109241"/>
    <x v="18"/>
    <x v="19"/>
    <x v="22"/>
    <x v="19"/>
    <x v="0"/>
    <n v="2705.4101087999998"/>
    <x v="0"/>
    <n v="2001.451356"/>
    <n v="1360.710859824"/>
    <x v="0"/>
    <n v="522.72000000000014"/>
    <n v="69.015563999999998"/>
    <x v="0"/>
    <n v="6591.84"/>
    <n v="28572.443495999996"/>
  </r>
  <r>
    <s v="DMN068"/>
    <s v="Construction Project Manager"/>
    <s v="@00178039"/>
    <s v="Powell, Jamal D."/>
    <s v="G"/>
    <x v="4"/>
    <x v="1"/>
    <x v="1"/>
    <x v="0"/>
    <x v="0"/>
    <x v="0"/>
    <x v="0"/>
    <x v="13"/>
    <s v="18F000"/>
    <x v="7"/>
    <x v="1"/>
    <x v="9"/>
    <x v="0"/>
    <x v="0"/>
    <x v="18"/>
    <n v="106694.69"/>
    <n v="85355.752000000008"/>
    <n v="41891.532856884412"/>
    <n v="127247.28485688442"/>
    <x v="18"/>
    <x v="19"/>
    <x v="22"/>
    <x v="19"/>
    <x v="0"/>
    <n v="1672.9727392000002"/>
    <x v="0"/>
    <n v="1237.6584040000002"/>
    <n v="841.43700321600011"/>
    <x v="0"/>
    <n v="522.72000000000014"/>
    <n v="42.677876000000005"/>
    <x v="0"/>
    <n v="5292.0566240000007"/>
    <n v="17668.640664000002"/>
  </r>
  <r>
    <s v="DMN068"/>
    <s v="Construction Project Manager"/>
    <s v="@00178039"/>
    <s v="Powell, Jamal D."/>
    <s v="G"/>
    <x v="4"/>
    <x v="1"/>
    <x v="1"/>
    <x v="0"/>
    <x v="0"/>
    <x v="0"/>
    <x v="0"/>
    <x v="12"/>
    <s v="18F000"/>
    <x v="7"/>
    <x v="1"/>
    <x v="9"/>
    <x v="0"/>
    <x v="0"/>
    <x v="16"/>
    <n v="106694.69"/>
    <n v="21338.938000000002"/>
    <n v="10472.883214221103"/>
    <n v="31811.821214221105"/>
    <x v="17"/>
    <x v="17"/>
    <x v="21"/>
    <x v="17"/>
    <x v="0"/>
    <n v="418.24318480000005"/>
    <x v="0"/>
    <n v="309.41460100000006"/>
    <n v="210.35925080400003"/>
    <x v="0"/>
    <n v="130.68000000000004"/>
    <n v="10.669469000000001"/>
    <x v="0"/>
    <n v="1323.0141560000002"/>
    <n v="4417.1601660000006"/>
  </r>
  <r>
    <s v="BMC503"/>
    <s v="Public Safety Officer I"/>
    <s v="@00597540"/>
    <s v="Goode, Jared J."/>
    <s v="375"/>
    <x v="2"/>
    <x v="0"/>
    <x v="0"/>
    <x v="0"/>
    <x v="0"/>
    <x v="0"/>
    <x v="0"/>
    <x v="0"/>
    <s v="D01CO2"/>
    <x v="8"/>
    <x v="0"/>
    <x v="11"/>
    <x v="0"/>
    <x v="0"/>
    <x v="0"/>
    <n v="39248.160000000003"/>
    <n v="39248.160000000003"/>
    <n v="30957.918454365499"/>
    <n v="70206.078454365503"/>
    <x v="0"/>
    <x v="0"/>
    <x v="0"/>
    <x v="0"/>
    <x v="0"/>
    <n v="769.26393600000006"/>
    <x v="0"/>
    <n v="569.09832000000006"/>
    <n v="386.90836128000007"/>
    <x v="0"/>
    <n v="388.55678400000005"/>
    <n v="19.624080000000003"/>
    <x v="0"/>
    <n v="2433.3859200000002"/>
    <n v="8124.3691200000003"/>
  </r>
  <r>
    <s v="BMC699"/>
    <s v="Public Safety Officer II"/>
    <s v="@00380380"/>
    <s v="Orozco Jr, Ricardo"/>
    <s v="410"/>
    <x v="13"/>
    <x v="0"/>
    <x v="0"/>
    <x v="0"/>
    <x v="0"/>
    <x v="0"/>
    <x v="0"/>
    <x v="0"/>
    <s v="D01CO2"/>
    <x v="8"/>
    <x v="0"/>
    <x v="12"/>
    <x v="0"/>
    <x v="0"/>
    <x v="0"/>
    <n v="45515.76"/>
    <n v="45515.76"/>
    <n v="32984.597055165505"/>
    <n v="78500.357055165514"/>
    <x v="0"/>
    <x v="0"/>
    <x v="0"/>
    <x v="0"/>
    <x v="0"/>
    <n v="892.10889599999996"/>
    <x v="0"/>
    <n v="659.97852000000012"/>
    <n v="448.69436208000002"/>
    <x v="0"/>
    <n v="450.60602400000005"/>
    <n v="22.75788"/>
    <x v="0"/>
    <n v="2821.97712"/>
    <n v="9421.7623199999998"/>
  </r>
  <r>
    <s v="DMC021"/>
    <s v="Department Assistant III"/>
    <s v="@00038363"/>
    <s v="Melendez, Lupe I."/>
    <s v="380"/>
    <x v="1"/>
    <x v="0"/>
    <x v="0"/>
    <x v="0"/>
    <x v="0"/>
    <x v="0"/>
    <x v="0"/>
    <x v="0"/>
    <s v="D01CO2"/>
    <x v="8"/>
    <x v="0"/>
    <x v="13"/>
    <x v="0"/>
    <x v="0"/>
    <x v="0"/>
    <n v="44405.64"/>
    <n v="44405.64"/>
    <n v="32625.630872205496"/>
    <n v="77031.270872205496"/>
    <x v="0"/>
    <x v="0"/>
    <x v="0"/>
    <x v="0"/>
    <x v="0"/>
    <n v="870.35054400000001"/>
    <x v="0"/>
    <n v="643.88178000000005"/>
    <n v="437.75079912000001"/>
    <x v="0"/>
    <n v="439.61583600000006"/>
    <n v="22.202819999999999"/>
    <x v="0"/>
    <n v="2753.14968"/>
    <n v="9191.9674799999993"/>
  </r>
  <r>
    <s v="DMC111"/>
    <s v="Custodian I"/>
    <s v="@00500488"/>
    <s v="Hernandez, Veronica"/>
    <s v="315"/>
    <x v="3"/>
    <x v="0"/>
    <x v="0"/>
    <x v="0"/>
    <x v="0"/>
    <x v="0"/>
    <x v="0"/>
    <x v="0"/>
    <s v="D01CO2"/>
    <x v="8"/>
    <x v="0"/>
    <x v="14"/>
    <x v="0"/>
    <x v="0"/>
    <x v="0"/>
    <n v="35556.839999999997"/>
    <n v="35556.839999999997"/>
    <n v="29764.300601805498"/>
    <n v="65321.140601805499"/>
    <x v="0"/>
    <x v="0"/>
    <x v="0"/>
    <x v="0"/>
    <x v="0"/>
    <n v="696.91406399999994"/>
    <x v="0"/>
    <n v="515.57417999999996"/>
    <n v="350.51932871999998"/>
    <x v="0"/>
    <n v="352.01271600000001"/>
    <n v="17.778419999999997"/>
    <x v="0"/>
    <n v="2204.5240799999997"/>
    <n v="7360.265879999999"/>
  </r>
  <r>
    <s v="DMC117"/>
    <s v="Custodian I"/>
    <s v="@00523592"/>
    <s v="Barajas, Jose"/>
    <s v="315"/>
    <x v="3"/>
    <x v="0"/>
    <x v="0"/>
    <x v="0"/>
    <x v="0"/>
    <x v="0"/>
    <x v="0"/>
    <x v="0"/>
    <s v="D01CO2"/>
    <x v="8"/>
    <x v="0"/>
    <x v="14"/>
    <x v="0"/>
    <x v="0"/>
    <x v="0"/>
    <n v="35556.839999999997"/>
    <n v="35556.839999999997"/>
    <n v="29764.300601805498"/>
    <n v="65321.140601805499"/>
    <x v="0"/>
    <x v="0"/>
    <x v="0"/>
    <x v="0"/>
    <x v="0"/>
    <n v="696.91406399999994"/>
    <x v="0"/>
    <n v="515.57417999999996"/>
    <n v="350.51932871999998"/>
    <x v="0"/>
    <n v="352.01271600000001"/>
    <n v="17.778419999999997"/>
    <x v="0"/>
    <n v="2204.5240799999997"/>
    <n v="7360.265879999999"/>
  </r>
  <r>
    <s v="DMN022"/>
    <s v="Building Facility Manager"/>
    <s v="@00241649"/>
    <s v="Birdwell, Don C."/>
    <s v="E"/>
    <x v="9"/>
    <x v="1"/>
    <x v="1"/>
    <x v="0"/>
    <x v="0"/>
    <x v="0"/>
    <x v="0"/>
    <x v="0"/>
    <s v="D01CO2"/>
    <x v="8"/>
    <x v="1"/>
    <x v="15"/>
    <x v="0"/>
    <x v="0"/>
    <x v="0"/>
    <n v="81005.42"/>
    <n v="81005.42"/>
    <n v="44311.908875445501"/>
    <n v="125317.3288754455"/>
    <x v="0"/>
    <x v="0"/>
    <x v="0"/>
    <x v="0"/>
    <x v="0"/>
    <n v="1587.706232"/>
    <x v="0"/>
    <n v="1174.5785900000001"/>
    <n v="798.55143036000004"/>
    <x v="0"/>
    <n v="653.40000000000009"/>
    <n v="40.50271"/>
    <x v="0"/>
    <n v="5022.3360400000001"/>
    <n v="16768.121939999997"/>
  </r>
  <r>
    <s v="DMN038"/>
    <s v="Executive Assistant"/>
    <s v="@00511332"/>
    <s v="Hillard-Adams, Danielle K."/>
    <s v="F"/>
    <x v="3"/>
    <x v="1"/>
    <x v="1"/>
    <x v="0"/>
    <x v="0"/>
    <x v="0"/>
    <x v="0"/>
    <x v="0"/>
    <s v="D01CO2"/>
    <x v="8"/>
    <x v="1"/>
    <x v="13"/>
    <x v="0"/>
    <x v="0"/>
    <x v="0"/>
    <n v="104772.96"/>
    <n v="104772.96"/>
    <n v="51762.034428765503"/>
    <n v="156534.99442876549"/>
    <x v="0"/>
    <x v="0"/>
    <x v="0"/>
    <x v="0"/>
    <x v="0"/>
    <n v="2053.5500160000001"/>
    <x v="0"/>
    <n v="1519.2079200000001"/>
    <n v="1032.85183968"/>
    <x v="0"/>
    <n v="653.40000000000009"/>
    <n v="52.386480000000006"/>
    <x v="0"/>
    <n v="6495.9235200000003"/>
    <n v="21688.00272"/>
  </r>
  <r>
    <s v="DTC017"/>
    <s v="Custodian I - TEMP"/>
    <m/>
    <m/>
    <m/>
    <x v="6"/>
    <x v="0"/>
    <x v="4"/>
    <x v="0"/>
    <x v="1"/>
    <x v="1"/>
    <x v="1"/>
    <x v="0"/>
    <s v="D01CO2"/>
    <x v="8"/>
    <x v="4"/>
    <x v="14"/>
    <x v="4"/>
    <x v="0"/>
    <x v="4"/>
    <m/>
    <n v="0"/>
    <n v="0"/>
    <n v="0"/>
    <x v="5"/>
    <x v="5"/>
    <x v="5"/>
    <x v="2"/>
    <x v="0"/>
    <n v="0"/>
    <x v="0"/>
    <n v="0"/>
    <n v="0"/>
    <x v="0"/>
    <n v="0"/>
    <n v="0"/>
    <x v="0"/>
    <n v="0"/>
    <n v="0"/>
  </r>
  <r>
    <s v="DMM004"/>
    <s v="Chancellor"/>
    <s v="@00004268"/>
    <s v="Burke, Thomas"/>
    <m/>
    <x v="6"/>
    <x v="4"/>
    <x v="10"/>
    <x v="0"/>
    <x v="0"/>
    <x v="0"/>
    <x v="0"/>
    <x v="0"/>
    <s v="R00CO1"/>
    <x v="9"/>
    <x v="8"/>
    <x v="16"/>
    <x v="0"/>
    <x v="0"/>
    <x v="19"/>
    <n v="325000"/>
    <n v="292500"/>
    <n v="115545.38573977695"/>
    <n v="408045.38573977695"/>
    <x v="19"/>
    <x v="20"/>
    <x v="23"/>
    <x v="20"/>
    <x v="0"/>
    <n v="5733"/>
    <x v="0"/>
    <n v="4241.25"/>
    <n v="2883.4650000000001"/>
    <x v="1"/>
    <n v="588.06000000000006"/>
    <n v="146.25"/>
    <x v="0"/>
    <n v="7415.82"/>
    <n v="60547.5"/>
  </r>
  <r>
    <s v="DMM004"/>
    <s v="Chancellor"/>
    <s v="@00004268"/>
    <s v="Burke, Thomas"/>
    <m/>
    <x v="6"/>
    <x v="4"/>
    <x v="10"/>
    <x v="0"/>
    <x v="0"/>
    <x v="0"/>
    <x v="0"/>
    <x v="0"/>
    <s v="R00CO1"/>
    <x v="9"/>
    <x v="8"/>
    <x v="17"/>
    <x v="0"/>
    <x v="0"/>
    <x v="20"/>
    <n v="325000"/>
    <n v="32500"/>
    <n v="12838.37619330855"/>
    <n v="45338.376193308548"/>
    <x v="20"/>
    <x v="21"/>
    <x v="24"/>
    <x v="21"/>
    <x v="0"/>
    <n v="637"/>
    <x v="0"/>
    <n v="471.25"/>
    <n v="320.38499999999999"/>
    <x v="2"/>
    <n v="65.340000000000018"/>
    <n v="16.25"/>
    <x v="0"/>
    <n v="823.98"/>
    <n v="6727.5"/>
  </r>
  <r>
    <s v="DMR002"/>
    <s v="Classified Hourly"/>
    <s v="@00000301"/>
    <s v="Strough, Terry L."/>
    <s v="310"/>
    <x v="13"/>
    <x v="0"/>
    <x v="4"/>
    <x v="0"/>
    <x v="1"/>
    <x v="0"/>
    <x v="0"/>
    <x v="0"/>
    <s v="R01BT1"/>
    <x v="9"/>
    <x v="4"/>
    <x v="18"/>
    <x v="4"/>
    <x v="0"/>
    <x v="4"/>
    <n v="0"/>
    <n v="0"/>
    <n v="0"/>
    <n v="0"/>
    <x v="5"/>
    <x v="5"/>
    <x v="5"/>
    <x v="2"/>
    <x v="0"/>
    <n v="0"/>
    <x v="0"/>
    <n v="0"/>
    <n v="0"/>
    <x v="0"/>
    <n v="0"/>
    <n v="0"/>
    <x v="0"/>
    <n v="0"/>
    <n v="0"/>
  </r>
  <r>
    <s v="DMR002"/>
    <s v="Classified Hourly"/>
    <s v="@00363626"/>
    <s v="Chavez, Christian"/>
    <s v="310"/>
    <x v="16"/>
    <x v="0"/>
    <x v="4"/>
    <x v="0"/>
    <x v="1"/>
    <x v="0"/>
    <x v="2"/>
    <x v="0"/>
    <s v="R01BT1"/>
    <x v="9"/>
    <x v="4"/>
    <x v="18"/>
    <x v="4"/>
    <x v="0"/>
    <x v="4"/>
    <m/>
    <n v="0"/>
    <n v="0"/>
    <n v="0"/>
    <x v="5"/>
    <x v="5"/>
    <x v="5"/>
    <x v="2"/>
    <x v="0"/>
    <n v="0"/>
    <x v="0"/>
    <n v="0"/>
    <n v="0"/>
    <x v="0"/>
    <n v="0"/>
    <n v="0"/>
    <x v="0"/>
    <n v="0"/>
    <n v="0"/>
  </r>
  <r>
    <s v="DMT001"/>
    <s v="Board Member"/>
    <s v="@00077219"/>
    <s v="Agbalog, Romeo V."/>
    <m/>
    <x v="6"/>
    <x v="5"/>
    <x v="11"/>
    <x v="0"/>
    <x v="0"/>
    <x v="0"/>
    <x v="0"/>
    <x v="0"/>
    <s v="R01BT1"/>
    <x v="9"/>
    <x v="6"/>
    <x v="19"/>
    <x v="0"/>
    <x v="0"/>
    <x v="0"/>
    <n v="3600"/>
    <n v="3600"/>
    <n v="18462.400733085498"/>
    <n v="22062.400733085498"/>
    <x v="0"/>
    <x v="0"/>
    <x v="0"/>
    <x v="0"/>
    <x v="0"/>
    <n v="70.56"/>
    <x v="0"/>
    <n v="52.2"/>
    <n v="35.488800000000005"/>
    <x v="0"/>
    <n v="35.64"/>
    <n v="1.8"/>
    <x v="0"/>
    <m/>
    <m/>
  </r>
  <r>
    <s v="DMT003"/>
    <s v="Board Member"/>
    <s v="@00004076"/>
    <s v="Meek, Kay S."/>
    <m/>
    <x v="6"/>
    <x v="5"/>
    <x v="11"/>
    <x v="0"/>
    <x v="0"/>
    <x v="0"/>
    <x v="0"/>
    <x v="0"/>
    <s v="R01BT1"/>
    <x v="9"/>
    <x v="6"/>
    <x v="19"/>
    <x v="0"/>
    <x v="0"/>
    <x v="0"/>
    <n v="3600"/>
    <n v="3600"/>
    <n v="18462.400733085498"/>
    <n v="22062.400733085498"/>
    <x v="0"/>
    <x v="0"/>
    <x v="0"/>
    <x v="0"/>
    <x v="0"/>
    <n v="70.56"/>
    <x v="0"/>
    <n v="52.2"/>
    <n v="35.488800000000005"/>
    <x v="0"/>
    <n v="35.64"/>
    <n v="1.8"/>
    <x v="0"/>
    <m/>
    <m/>
  </r>
  <r>
    <s v="DMT004"/>
    <s v="Board Member"/>
    <s v="@00343762"/>
    <s v="Corkins, John S."/>
    <m/>
    <x v="6"/>
    <x v="5"/>
    <x v="11"/>
    <x v="0"/>
    <x v="0"/>
    <x v="0"/>
    <x v="0"/>
    <x v="0"/>
    <s v="R01BT1"/>
    <x v="9"/>
    <x v="6"/>
    <x v="19"/>
    <x v="0"/>
    <x v="0"/>
    <x v="0"/>
    <n v="3600"/>
    <n v="3600"/>
    <n v="18462.400733085498"/>
    <n v="22062.400733085498"/>
    <x v="0"/>
    <x v="0"/>
    <x v="0"/>
    <x v="0"/>
    <x v="0"/>
    <n v="70.56"/>
    <x v="0"/>
    <n v="52.2"/>
    <n v="35.488800000000005"/>
    <x v="0"/>
    <n v="35.64"/>
    <n v="1.8"/>
    <x v="0"/>
    <m/>
    <m/>
  </r>
  <r>
    <s v="DMT005"/>
    <s v="Board Member"/>
    <s v="@00002100"/>
    <s v="Gomez-Heitzberg, Nan"/>
    <m/>
    <x v="6"/>
    <x v="5"/>
    <x v="11"/>
    <x v="0"/>
    <x v="0"/>
    <x v="0"/>
    <x v="0"/>
    <x v="0"/>
    <s v="R01BT1"/>
    <x v="9"/>
    <x v="6"/>
    <x v="19"/>
    <x v="0"/>
    <x v="0"/>
    <x v="0"/>
    <n v="3600"/>
    <n v="3600"/>
    <n v="18462.400733085498"/>
    <n v="22062.400733085498"/>
    <x v="0"/>
    <x v="0"/>
    <x v="0"/>
    <x v="0"/>
    <x v="0"/>
    <n v="70.56"/>
    <x v="0"/>
    <n v="52.2"/>
    <n v="35.488800000000005"/>
    <x v="0"/>
    <n v="35.64"/>
    <n v="1.8"/>
    <x v="0"/>
    <m/>
    <m/>
  </r>
  <r>
    <s v="DMT006"/>
    <s v="Board Member"/>
    <s v="@00568705"/>
    <s v="Storch, Mark G."/>
    <m/>
    <x v="6"/>
    <x v="5"/>
    <x v="11"/>
    <x v="0"/>
    <x v="0"/>
    <x v="0"/>
    <x v="0"/>
    <x v="0"/>
    <s v="R01BT1"/>
    <x v="9"/>
    <x v="6"/>
    <x v="19"/>
    <x v="0"/>
    <x v="0"/>
    <x v="0"/>
    <n v="3600"/>
    <n v="3600"/>
    <n v="18462.400733085498"/>
    <n v="22062.400733085498"/>
    <x v="0"/>
    <x v="0"/>
    <x v="0"/>
    <x v="0"/>
    <x v="0"/>
    <n v="70.56"/>
    <x v="0"/>
    <n v="52.2"/>
    <n v="35.488800000000005"/>
    <x v="0"/>
    <n v="35.64"/>
    <n v="1.8"/>
    <x v="0"/>
    <m/>
    <m/>
  </r>
  <r>
    <s v="DMT007"/>
    <s v="Board Member"/>
    <s v="@00594135"/>
    <s v="Carter, Kyle"/>
    <m/>
    <x v="6"/>
    <x v="5"/>
    <x v="11"/>
    <x v="0"/>
    <x v="0"/>
    <x v="0"/>
    <x v="0"/>
    <x v="0"/>
    <s v="R01BT1"/>
    <x v="9"/>
    <x v="6"/>
    <x v="19"/>
    <x v="0"/>
    <x v="0"/>
    <x v="0"/>
    <n v="3600"/>
    <n v="3600"/>
    <n v="18462.400733085498"/>
    <n v="22062.400733085498"/>
    <x v="0"/>
    <x v="0"/>
    <x v="0"/>
    <x v="0"/>
    <x v="0"/>
    <n v="70.56"/>
    <x v="0"/>
    <n v="52.2"/>
    <n v="35.488800000000005"/>
    <x v="0"/>
    <n v="35.64"/>
    <n v="1.8"/>
    <x v="0"/>
    <m/>
    <m/>
  </r>
  <r>
    <s v="DMT008"/>
    <s v="Board Member"/>
    <s v="@00227451"/>
    <s v="Beebe, Dennis L."/>
    <m/>
    <x v="6"/>
    <x v="5"/>
    <x v="11"/>
    <x v="0"/>
    <x v="0"/>
    <x v="0"/>
    <x v="0"/>
    <x v="0"/>
    <s v="R01BT1"/>
    <x v="9"/>
    <x v="6"/>
    <x v="19"/>
    <x v="0"/>
    <x v="0"/>
    <x v="0"/>
    <n v="3600"/>
    <n v="3600"/>
    <n v="18462.400733085498"/>
    <n v="22062.400733085498"/>
    <x v="0"/>
    <x v="0"/>
    <x v="0"/>
    <x v="0"/>
    <x v="0"/>
    <n v="70.56"/>
    <x v="0"/>
    <n v="52.2"/>
    <n v="35.488800000000005"/>
    <x v="0"/>
    <n v="35.64"/>
    <n v="1.8"/>
    <x v="0"/>
    <m/>
    <m/>
  </r>
  <r>
    <s v="DMN003"/>
    <s v="Chief Financial Officer"/>
    <s v="@00380310"/>
    <s v="Martin, Deborah A."/>
    <s v="M"/>
    <x v="0"/>
    <x v="1"/>
    <x v="1"/>
    <x v="0"/>
    <x v="0"/>
    <x v="0"/>
    <x v="0"/>
    <x v="0"/>
    <s v="R20BS1"/>
    <x v="10"/>
    <x v="1"/>
    <x v="2"/>
    <x v="0"/>
    <x v="0"/>
    <x v="0"/>
    <n v="181534.73"/>
    <n v="181534.73"/>
    <n v="72808.272069425497"/>
    <n v="254343.00206942551"/>
    <x v="0"/>
    <x v="0"/>
    <x v="0"/>
    <x v="0"/>
    <x v="0"/>
    <n v="3558.080708"/>
    <x v="0"/>
    <n v="2632.2535850000004"/>
    <n v="1789.5693683400002"/>
    <x v="0"/>
    <n v="653.40000000000009"/>
    <n v="90.767365000000012"/>
    <x v="0"/>
    <n v="8239.7999999999993"/>
    <n v="37577.689109999999"/>
  </r>
  <r>
    <m/>
    <s v="Enterprise Res Plan Analyst I"/>
    <m/>
    <m/>
    <n v="515"/>
    <x v="5"/>
    <x v="0"/>
    <x v="0"/>
    <x v="0"/>
    <x v="0"/>
    <x v="1"/>
    <x v="1"/>
    <x v="0"/>
    <s v="132EA0"/>
    <x v="3"/>
    <x v="0"/>
    <x v="4"/>
    <x v="0"/>
    <x v="0"/>
    <x v="0"/>
    <n v="74582.880000000005"/>
    <n v="74582.880000000005"/>
    <n v="42298.712332125499"/>
    <n v="116881.5923321255"/>
    <x v="0"/>
    <x v="0"/>
    <x v="0"/>
    <x v="0"/>
    <x v="0"/>
    <n v="1461.8244480000001"/>
    <x v="0"/>
    <n v="1081.4517600000001"/>
    <n v="735.23803104000012"/>
    <x v="0"/>
    <n v="653.40000000000009"/>
    <n v="37.291440000000001"/>
    <x v="0"/>
    <n v="4624.1385600000003"/>
    <n v="15438.656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8">
  <r>
    <s v="GU001"/>
    <x v="0"/>
    <s v="IR"/>
    <s v="10AIR1"/>
    <s v="Institutional Reporting"/>
    <x v="0"/>
    <s v="Non-Library/Magazines/Bks/Prdcls"/>
    <s v="679000"/>
    <m/>
    <m/>
    <n v="250"/>
    <n v="590.75"/>
    <n v="250"/>
    <n v="0"/>
    <n v="200"/>
    <n v="0"/>
    <n v="100"/>
    <n v="100"/>
    <m/>
  </r>
  <r>
    <s v="GU001"/>
    <x v="0"/>
    <s v="IR"/>
    <s v="10AIR1"/>
    <s v="Institutional Reporting"/>
    <x v="1"/>
    <s v="Non-Inst Supplies &amp; Materials"/>
    <s v="679000"/>
    <m/>
    <m/>
    <n v="1000"/>
    <n v="408.5"/>
    <n v="1000"/>
    <n v="78.459999999999994"/>
    <n v="700"/>
    <n v="283.74"/>
    <n v="200"/>
    <n v="200"/>
    <s v="Maybe shifted to fund additional reference books"/>
  </r>
  <r>
    <s v="GU001"/>
    <x v="0"/>
    <s v="IR"/>
    <s v="10AIR1"/>
    <s v="Institutional Reporting"/>
    <x v="2"/>
    <s v="Oth Non-Inst Consulting Services"/>
    <s v="679000"/>
    <m/>
    <m/>
    <n v="11000"/>
    <n v="4617.25"/>
    <n v="2000"/>
    <n v="120"/>
    <n v="1600"/>
    <n v="0"/>
    <n v="1600"/>
    <n v="1600"/>
    <m/>
  </r>
  <r>
    <s v="GU001"/>
    <x v="0"/>
    <s v="IR"/>
    <s v="10AIR1"/>
    <s v="Institutional Reporting"/>
    <x v="3"/>
    <s v="Employee Travel"/>
    <s v="679000"/>
    <m/>
    <m/>
    <n v="9000"/>
    <n v="6657.84"/>
    <n v="28000"/>
    <n v="14431.8"/>
    <n v="14000"/>
    <n v="0"/>
    <n v="13206"/>
    <n v="12410"/>
    <s v="CCCCO Conference - Spring 2022"/>
  </r>
  <r>
    <s v="GU001"/>
    <x v="0"/>
    <s v="IR"/>
    <s v="10AIR1"/>
    <s v="Institutional Reporting"/>
    <x v="4"/>
    <s v="(Local) Online Training/Webinar"/>
    <s v="679000"/>
    <m/>
    <m/>
    <m/>
    <m/>
    <n v="5700"/>
    <n v="1197.95"/>
    <n v="0"/>
    <n v="120"/>
    <n v="500"/>
    <n v="500"/>
    <s v="Online data warehouse training"/>
  </r>
  <r>
    <s v="GU001"/>
    <x v="0"/>
    <s v="IR"/>
    <s v="10AIR1"/>
    <s v="Institutional Reporting"/>
    <x v="5"/>
    <s v="Food/Meetings"/>
    <s v="679000"/>
    <m/>
    <m/>
    <n v="200"/>
    <n v="411.96"/>
    <n v="500"/>
    <n v="326.62"/>
    <n v="300"/>
    <n v="0"/>
    <n v="0"/>
    <n v="0"/>
    <m/>
  </r>
  <r>
    <s v="GU001"/>
    <x v="0"/>
    <s v="IR"/>
    <s v="10AIR1"/>
    <s v="Institutional Reporting"/>
    <x v="6"/>
    <s v="Institutional Dues/Memberships"/>
    <s v="679000"/>
    <m/>
    <m/>
    <n v="1050"/>
    <n v="500"/>
    <n v="1850"/>
    <n v="660"/>
    <n v="1000"/>
    <n v="670"/>
    <n v="1000"/>
    <n v="1000"/>
    <m/>
  </r>
  <r>
    <s v="GU001"/>
    <x v="0"/>
    <s v="IR"/>
    <s v="10AIR1"/>
    <s v="Institutional Reporting"/>
    <x v="7"/>
    <s v="Software Licensing/Maintenance Svcs"/>
    <s v="679000"/>
    <m/>
    <m/>
    <n v="2750"/>
    <n v="6494"/>
    <n v="18784"/>
    <n v="15931.82"/>
    <n v="21000"/>
    <n v="17835"/>
    <n v="21000"/>
    <n v="21000"/>
    <s v="Does not reflect the proposed expansion of Tableau $15K or transfer to the IT budget"/>
  </r>
  <r>
    <s v="GU001"/>
    <x v="0"/>
    <s v="IR"/>
    <s v="10AIR1"/>
    <s v="Institutional Reporting"/>
    <x v="8"/>
    <s v="Computer/Technology Equipment"/>
    <s v="679000"/>
    <m/>
    <m/>
    <n v="3000"/>
    <n v="6682.65"/>
    <n v="2250"/>
    <n v="9003.9500000000007"/>
    <n v="1000"/>
    <n v="0"/>
    <n v="1000"/>
    <n v="1000"/>
    <m/>
  </r>
  <r>
    <s v="GU001"/>
    <x v="0"/>
    <s v="IR"/>
    <s v="10AIR1"/>
    <s v="Institutional Reporting"/>
    <x v="9"/>
    <s v="Intrafund Transfers Out"/>
    <s v="679000"/>
    <m/>
    <m/>
    <m/>
    <m/>
    <n v="0"/>
    <n v="0"/>
    <m/>
    <m/>
    <m/>
    <m/>
    <m/>
  </r>
  <r>
    <s v="GU001"/>
    <x v="0"/>
    <s v="IR"/>
    <s v="10AIR1"/>
    <s v="Institutional Reporting"/>
    <x v="9"/>
    <s v="Intrafund Transfers Out"/>
    <s v="731001"/>
    <m/>
    <m/>
    <m/>
    <m/>
    <n v="0"/>
    <n v="1750"/>
    <m/>
    <m/>
    <m/>
    <m/>
    <m/>
  </r>
  <r>
    <s v="GU001"/>
    <x v="1"/>
    <s v="Ed Srvcs"/>
    <s v="110ES1"/>
    <s v="Edu Svcs. - Operating Budget"/>
    <x v="10"/>
    <s v="Non-Admin Non-Instr Prof Expt"/>
    <s v="679000"/>
    <s v="DTL001"/>
    <m/>
    <n v="6300"/>
    <n v="0"/>
    <n v="6300"/>
    <n v="0"/>
    <n v="6300"/>
    <n v="0"/>
    <n v="0"/>
    <n v="0"/>
    <s v="Check to see if necessary"/>
  </r>
  <r>
    <s v="GU001"/>
    <x v="1"/>
    <s v="Ed Srvcs"/>
    <s v="110ES1"/>
    <s v="Edu Svcs. - Operating Budget"/>
    <x v="0"/>
    <s v="Non-Library/Magazines/Bks/Prdcls"/>
    <s v="679000"/>
    <m/>
    <m/>
    <n v="800"/>
    <n v="635.42999999999995"/>
    <n v="800"/>
    <n v="0"/>
    <n v="800"/>
    <n v="0"/>
    <n v="300"/>
    <n v="300"/>
    <s v="Should this be move 6310?"/>
  </r>
  <r>
    <s v="GU001"/>
    <x v="1"/>
    <s v="Ed Srvcs"/>
    <s v="110ES1"/>
    <s v="Edu Svcs. - Operating Budget"/>
    <x v="11"/>
    <s v="Inst Supplies &amp; Materials"/>
    <s v="679000"/>
    <m/>
    <m/>
    <n v="900"/>
    <n v="0"/>
    <n v="900"/>
    <n v="0"/>
    <n v="900"/>
    <n v="0"/>
    <n v="450"/>
    <n v="300"/>
    <s v="FY21- Transfer to Trudy if not going to be spent"/>
  </r>
  <r>
    <s v="GU001"/>
    <x v="1"/>
    <s v="Ed Srvcs"/>
    <s v="110ES1"/>
    <s v="Edu Svcs. - Operating Budget"/>
    <x v="1"/>
    <s v="Non-Inst Supplies &amp; Materials"/>
    <s v="679000"/>
    <m/>
    <m/>
    <n v="900"/>
    <n v="1072.1600000000001"/>
    <n v="900"/>
    <n v="92.9"/>
    <n v="900"/>
    <n v="0"/>
    <n v="900"/>
    <n v="900"/>
    <s v="May be potential source of a reduction"/>
  </r>
  <r>
    <s v="GU001"/>
    <x v="1"/>
    <s v="Ed Srvcs"/>
    <s v="110ES1"/>
    <s v="Edu Svcs. - Operating Budget"/>
    <x v="2"/>
    <s v="Oth Non-Inst Consulting Services"/>
    <s v="679000"/>
    <m/>
    <m/>
    <n v="6000"/>
    <n v="6293.38"/>
    <n v="19000"/>
    <n v="10554"/>
    <n v="19000"/>
    <n v="0"/>
    <n v="15000"/>
    <n v="13000"/>
    <s v="Educational Master Plan Year ???"/>
  </r>
  <r>
    <s v="GU001"/>
    <x v="1"/>
    <s v="Ed Srvcs"/>
    <s v="110ES1"/>
    <s v="Edu Svcs. - Operating Budget"/>
    <x v="12"/>
    <s v="Non-Employee Travel"/>
    <s v="679000"/>
    <m/>
    <m/>
    <n v="350"/>
    <n v="2178.34"/>
    <n v="350"/>
    <n v="0"/>
    <n v="350"/>
    <n v="0"/>
    <n v="350"/>
    <n v="350"/>
    <m/>
  </r>
  <r>
    <s v="GU001"/>
    <x v="1"/>
    <s v="Ed Srvcs"/>
    <s v="110ES1"/>
    <s v="Edu Svcs. - Operating Budget"/>
    <x v="3"/>
    <s v="Employee Travel"/>
    <s v="679000"/>
    <m/>
    <m/>
    <n v="5000"/>
    <n v="6885.17"/>
    <n v="5000"/>
    <n v="2634.42"/>
    <n v="5000"/>
    <n v="0"/>
    <n v="2500"/>
    <n v="2000"/>
    <s v="Possible half reduction"/>
  </r>
  <r>
    <s v="GU001"/>
    <x v="1"/>
    <s v="Ed Srvcs"/>
    <s v="110ES1"/>
    <s v="Edu Svcs. - Operating Budget"/>
    <x v="3"/>
    <s v="Employee Travel"/>
    <s v="679000"/>
    <m/>
    <s v="CI"/>
    <m/>
    <m/>
    <n v="0"/>
    <n v="33.1"/>
    <m/>
    <m/>
    <m/>
    <m/>
    <m/>
  </r>
  <r>
    <s v="GU001"/>
    <x v="1"/>
    <s v="Ed Srvcs"/>
    <s v="110ES1"/>
    <s v="Edu Svcs. - Operating Budget"/>
    <x v="5"/>
    <s v="Food/Meetings"/>
    <s v="679000"/>
    <m/>
    <m/>
    <n v="1250"/>
    <n v="1527.17"/>
    <n v="1250"/>
    <n v="1092.28"/>
    <n v="1250"/>
    <n v="0"/>
    <n v="1250"/>
    <n v="1250"/>
    <m/>
  </r>
  <r>
    <s v="GU001"/>
    <x v="1"/>
    <s v="Ed Srvcs"/>
    <s v="110ES1"/>
    <s v="Edu Svcs. - Operating Budget"/>
    <x v="6"/>
    <s v="Institutional Dues/Memberships"/>
    <s v="679000"/>
    <m/>
    <m/>
    <n v="1000"/>
    <n v="3750"/>
    <n v="1000"/>
    <n v="500"/>
    <n v="1000"/>
    <n v="3450"/>
    <n v="4000"/>
    <n v="4000"/>
    <m/>
  </r>
  <r>
    <s v="GU001"/>
    <x v="1"/>
    <s v="Ed Srvcs"/>
    <s v="110ES1"/>
    <s v="Edu Svcs. - Operating Budget"/>
    <x v="7"/>
    <s v="Software Licensing/Maintenance Svcs"/>
    <s v="679000"/>
    <m/>
    <m/>
    <n v="2000"/>
    <n v="0"/>
    <n v="2000"/>
    <n v="75.34"/>
    <n v="2000"/>
    <n v="1.55"/>
    <n v="1000"/>
    <n v="500"/>
    <s v="May be potential source of a reduction"/>
  </r>
  <r>
    <s v="GU001"/>
    <x v="1"/>
    <s v="Ed Srvcs"/>
    <s v="110ES1"/>
    <s v="Edu Svcs. - Operating Budget"/>
    <x v="13"/>
    <s v="Equip Maint Agreements"/>
    <s v="679000"/>
    <m/>
    <m/>
    <n v="0"/>
    <n v="177.81"/>
    <n v="0"/>
    <n v="57.74"/>
    <m/>
    <m/>
    <m/>
    <m/>
    <m/>
  </r>
  <r>
    <s v="GU001"/>
    <x v="1"/>
    <s v="Ed Srvcs"/>
    <s v="110ES1"/>
    <s v="Edu Svcs. - Operating Budget"/>
    <x v="14"/>
    <s v="Other Professional Fees"/>
    <s v="679000"/>
    <m/>
    <m/>
    <m/>
    <m/>
    <n v="0"/>
    <n v="420"/>
    <m/>
    <m/>
    <m/>
    <m/>
    <m/>
  </r>
  <r>
    <s v="GU001"/>
    <x v="1"/>
    <s v="Ed Srvcs"/>
    <s v="110ES1"/>
    <s v="Edu Svcs. - Operating Budget"/>
    <x v="15"/>
    <s v="General Advertising Services"/>
    <s v="679000"/>
    <m/>
    <m/>
    <n v="0"/>
    <n v="508"/>
    <m/>
    <m/>
    <m/>
    <m/>
    <m/>
    <m/>
    <m/>
  </r>
  <r>
    <s v="GU001"/>
    <x v="1"/>
    <s v="Ed Srvcs"/>
    <s v="110ES1"/>
    <s v="Edu Svcs. - Operating Budget"/>
    <x v="8"/>
    <s v="Computer/Technology Equipment"/>
    <s v="679000"/>
    <m/>
    <m/>
    <n v="9700"/>
    <n v="2174.6999999999998"/>
    <n v="5000"/>
    <n v="2252.6799999999998"/>
    <n v="5000"/>
    <n v="0"/>
    <n v="2500"/>
    <n v="2500"/>
    <s v="FY21- Transfer to Trudy if not going to be spent"/>
  </r>
  <r>
    <s v="GU001"/>
    <x v="1"/>
    <s v="Ed Srvcs"/>
    <s v="110ES1"/>
    <s v="Edu Svcs. - Operating Budget"/>
    <x v="16"/>
    <s v="Computer/Tech Equipment"/>
    <s v="679000"/>
    <m/>
    <m/>
    <n v="0"/>
    <n v="5794.18"/>
    <m/>
    <m/>
    <m/>
    <m/>
    <m/>
    <m/>
    <m/>
  </r>
  <r>
    <s v="GU001"/>
    <x v="1"/>
    <s v="Ed Srvcs"/>
    <s v="110LA0"/>
    <s v="Leadership Academy"/>
    <x v="17"/>
    <s v="Acad Emp - Non-Inst Non Cont"/>
    <s v="679000"/>
    <m/>
    <m/>
    <m/>
    <m/>
    <n v="0"/>
    <n v="6300"/>
    <n v="0"/>
    <m/>
    <m/>
    <m/>
    <m/>
  </r>
  <r>
    <s v="GU001"/>
    <x v="1"/>
    <s v="Ed Srvcs"/>
    <s v="110LA0"/>
    <s v="Leadership Academy"/>
    <x v="17"/>
    <s v="Acad Emp - Non-Inst Non Cont"/>
    <s v="684000"/>
    <m/>
    <m/>
    <m/>
    <m/>
    <n v="0"/>
    <n v="300"/>
    <m/>
    <m/>
    <m/>
    <m/>
    <m/>
  </r>
  <r>
    <s v="GU001"/>
    <x v="1"/>
    <s v="Ed Srvcs"/>
    <s v="110LA0"/>
    <s v="Leadership Academy"/>
    <x v="0"/>
    <s v="Non-Library/Magazines/Bks/Prdcls"/>
    <s v="679000"/>
    <m/>
    <m/>
    <n v="1000"/>
    <n v="0"/>
    <n v="1000"/>
    <n v="0"/>
    <n v="1000"/>
    <n v="0"/>
    <n v="500"/>
    <n v="500"/>
    <s v="Should this be move 6310?"/>
  </r>
  <r>
    <s v="GU001"/>
    <x v="1"/>
    <s v="Ed Srvcs"/>
    <s v="110LA0"/>
    <s v="Leadership Academy"/>
    <x v="11"/>
    <s v="Inst Supplies &amp; Materials"/>
    <s v="679000"/>
    <m/>
    <m/>
    <n v="2000"/>
    <n v="0"/>
    <n v="2000"/>
    <n v="0"/>
    <n v="2000"/>
    <n v="0"/>
    <n v="1000"/>
    <n v="1000"/>
    <s v="May be potential source of a reduction"/>
  </r>
  <r>
    <s v="GU001"/>
    <x v="1"/>
    <s v="Ed Srvcs"/>
    <s v="110LA0"/>
    <s v="Leadership Academy"/>
    <x v="1"/>
    <s v="Non-Inst Supplies &amp; Materials"/>
    <s v="679000"/>
    <m/>
    <m/>
    <n v="800"/>
    <n v="3479"/>
    <n v="500"/>
    <n v="905.08"/>
    <n v="500"/>
    <n v="239.07"/>
    <n v="500"/>
    <n v="500"/>
    <m/>
  </r>
  <r>
    <s v="GU001"/>
    <x v="1"/>
    <s v="Ed Srvcs"/>
    <s v="110LA0"/>
    <s v="Leadership Academy"/>
    <x v="2"/>
    <s v="Oth Non-Inst Consulting Services"/>
    <s v="679000"/>
    <m/>
    <m/>
    <n v="15000"/>
    <n v="6245.25"/>
    <n v="12000"/>
    <n v="6443"/>
    <n v="6000"/>
    <n v="0"/>
    <n v="6000"/>
    <n v="6000"/>
    <m/>
  </r>
  <r>
    <s v="GU001"/>
    <x v="1"/>
    <s v="Ed Srvcs"/>
    <s v="110LA0"/>
    <s v="Leadership Academy"/>
    <x v="3"/>
    <s v="Employee Travel"/>
    <s v="679000"/>
    <m/>
    <m/>
    <n v="20000"/>
    <n v="28757.34"/>
    <n v="30000"/>
    <n v="29396.44"/>
    <n v="20000"/>
    <n v="0"/>
    <n v="20000"/>
    <n v="20000"/>
    <s v="FY21- Transfer to Trudy if not going to be spent"/>
  </r>
  <r>
    <s v="GU001"/>
    <x v="1"/>
    <s v="Ed Srvcs"/>
    <s v="110LA0"/>
    <s v="Leadership Academy"/>
    <x v="3"/>
    <s v="Employee Travel"/>
    <s v="679000"/>
    <m/>
    <s v="CI"/>
    <n v="0"/>
    <n v="47.82"/>
    <m/>
    <m/>
    <m/>
    <m/>
    <m/>
    <m/>
    <m/>
  </r>
  <r>
    <s v="GU001"/>
    <x v="1"/>
    <s v="Ed Srvcs"/>
    <s v="110LA0"/>
    <s v="Leadership Academy"/>
    <x v="5"/>
    <s v="Food/Meetings"/>
    <s v="679000"/>
    <m/>
    <m/>
    <n v="3000"/>
    <n v="2759.49"/>
    <n v="3000"/>
    <n v="3538.61"/>
    <n v="3000"/>
    <n v="0"/>
    <n v="3000"/>
    <n v="3000"/>
    <m/>
  </r>
  <r>
    <s v="GU001"/>
    <x v="1"/>
    <s v="Ed Srvcs"/>
    <s v="110LA0"/>
    <s v="Leadership Academy"/>
    <x v="6"/>
    <s v="Institutional Dues/Memberships"/>
    <s v="679000"/>
    <m/>
    <m/>
    <m/>
    <m/>
    <m/>
    <m/>
    <n v="0"/>
    <n v="5000"/>
    <n v="0"/>
    <n v="0"/>
    <s v="Check with Denise"/>
  </r>
  <r>
    <s v="GU001"/>
    <x v="1"/>
    <s v="Ed Srvcs"/>
    <s v="110LA0"/>
    <s v="Leadership Academy"/>
    <x v="18"/>
    <s v="Natural Gas/LPG"/>
    <s v="679000"/>
    <m/>
    <m/>
    <m/>
    <m/>
    <n v="0"/>
    <n v="67.16"/>
    <m/>
    <m/>
    <m/>
    <m/>
    <m/>
  </r>
  <r>
    <s v="GU001"/>
    <x v="1"/>
    <s v="Ed Srvcs"/>
    <s v="110LA0"/>
    <s v="Leadership Academy"/>
    <x v="14"/>
    <s v="Other Professional Fees"/>
    <s v="679000"/>
    <m/>
    <m/>
    <n v="0"/>
    <n v="1450"/>
    <n v="0"/>
    <n v="900"/>
    <m/>
    <m/>
    <m/>
    <m/>
    <m/>
  </r>
  <r>
    <s v="GU001"/>
    <x v="1"/>
    <s v="Ed Srvcs"/>
    <s v="110LA0"/>
    <s v="Leadership Academy"/>
    <x v="19"/>
    <s v="Postage/Express Overnight Svcs"/>
    <s v="679000"/>
    <m/>
    <m/>
    <m/>
    <m/>
    <m/>
    <m/>
    <n v="0"/>
    <n v="33"/>
    <n v="0"/>
    <n v="0"/>
    <m/>
  </r>
  <r>
    <s v="GU001"/>
    <x v="1"/>
    <s v="Ed Srvcs"/>
    <s v="110WT1"/>
    <s v="WESTEC Contract"/>
    <x v="20"/>
    <s v="Cont Instruction"/>
    <s v="210500"/>
    <m/>
    <m/>
    <n v="468281"/>
    <n v="401310"/>
    <n v="418031"/>
    <n v="193966.5"/>
    <n v="383000"/>
    <n v="60196.5"/>
    <n v="105000"/>
    <n v="105000"/>
    <s v="See Tom's tenative budget decline projections"/>
  </r>
  <r>
    <s v="GU001"/>
    <x v="1"/>
    <s v="Ed Srvcs"/>
    <s v="11BA01"/>
    <s v="CCPT2 - District"/>
    <x v="9"/>
    <s v="Intrafund Transfers Out"/>
    <s v="679000"/>
    <m/>
    <m/>
    <m/>
    <m/>
    <n v="0"/>
    <n v="45980.11"/>
    <m/>
    <m/>
    <m/>
    <m/>
    <m/>
  </r>
  <r>
    <s v="GU001"/>
    <x v="1"/>
    <s v="Ed Srvcs"/>
    <s v="11BWD1"/>
    <s v="Economic &amp; Workforce Development"/>
    <x v="11"/>
    <s v="Inst Supplies &amp; Materials"/>
    <s v="679000"/>
    <m/>
    <m/>
    <n v="600"/>
    <n v="0"/>
    <n v="600"/>
    <n v="0"/>
    <n v="0"/>
    <m/>
    <n v="300"/>
    <n v="200"/>
    <m/>
  </r>
  <r>
    <s v="GU001"/>
    <x v="1"/>
    <s v="Ed Srvcs"/>
    <s v="11BWD1"/>
    <s v="Economic &amp; Workforce Development"/>
    <x v="1"/>
    <s v="Non-Inst Supplies &amp; Materials"/>
    <s v="679000"/>
    <m/>
    <m/>
    <n v="6500"/>
    <n v="2560.9499999999998"/>
    <n v="6500"/>
    <n v="1695.05"/>
    <n v="0"/>
    <n v="0"/>
    <n v="6500"/>
    <n v="6500"/>
    <m/>
  </r>
  <r>
    <s v="GU001"/>
    <x v="1"/>
    <s v="Ed Srvcs"/>
    <s v="11BWD1"/>
    <s v="Economic &amp; Workforce Development"/>
    <x v="1"/>
    <s v="Non-Inst Supplies &amp; Materials"/>
    <s v="684000"/>
    <m/>
    <m/>
    <n v="0"/>
    <n v="-2538.46"/>
    <n v="0"/>
    <n v="15.72"/>
    <n v="0"/>
    <m/>
    <n v="0"/>
    <n v="0"/>
    <m/>
  </r>
  <r>
    <s v="GU001"/>
    <x v="1"/>
    <s v="Ed Srvcs"/>
    <s v="11BWD1"/>
    <s v="Economic &amp; Workforce Development"/>
    <x v="12"/>
    <s v="Non-Employee Travel"/>
    <s v="679000"/>
    <m/>
    <m/>
    <n v="0"/>
    <n v="246.34"/>
    <m/>
    <m/>
    <n v="0"/>
    <m/>
    <n v="0"/>
    <n v="0"/>
    <m/>
  </r>
  <r>
    <s v="GU001"/>
    <x v="1"/>
    <s v="Ed Srvcs"/>
    <s v="11BWD1"/>
    <s v="Economic &amp; Workforce Development"/>
    <x v="3"/>
    <s v="Employee Travel"/>
    <s v="684000"/>
    <m/>
    <m/>
    <m/>
    <m/>
    <n v="0"/>
    <n v="231.68"/>
    <m/>
    <m/>
    <m/>
    <m/>
    <m/>
  </r>
  <r>
    <s v="GU001"/>
    <x v="1"/>
    <s v="Ed Srvcs"/>
    <s v="11BWD1"/>
    <s v="Economic &amp; Workforce Development"/>
    <x v="3"/>
    <s v="Employee Travel"/>
    <s v="679000"/>
    <m/>
    <m/>
    <n v="8000"/>
    <n v="1844.47"/>
    <n v="8000"/>
    <n v="6572.03"/>
    <n v="0"/>
    <n v="0"/>
    <n v="7000"/>
    <n v="6500"/>
    <m/>
  </r>
  <r>
    <s v="GU001"/>
    <x v="1"/>
    <s v="Ed Srvcs"/>
    <s v="11BWD1"/>
    <s v="Economic &amp; Workforce Development"/>
    <x v="5"/>
    <s v="Food/Meetings"/>
    <s v="679000"/>
    <m/>
    <m/>
    <n v="0"/>
    <n v="79.72"/>
    <m/>
    <m/>
    <n v="0"/>
    <m/>
    <n v="0"/>
    <n v="0"/>
    <m/>
  </r>
  <r>
    <s v="GU001"/>
    <x v="1"/>
    <s v="Ed Srvcs"/>
    <s v="11BWD1"/>
    <s v="Economic &amp; Workforce Development"/>
    <x v="5"/>
    <s v="Food/Meetings"/>
    <s v="684000"/>
    <m/>
    <m/>
    <m/>
    <m/>
    <n v="0"/>
    <n v="194.78"/>
    <m/>
    <m/>
    <m/>
    <m/>
    <m/>
  </r>
  <r>
    <s v="GU001"/>
    <x v="1"/>
    <s v="Ed Srvcs"/>
    <s v="11BWD1"/>
    <s v="Economic &amp; Workforce Development"/>
    <x v="6"/>
    <s v="Institutional Dues/Memberships"/>
    <s v="602010"/>
    <m/>
    <m/>
    <n v="500"/>
    <n v="0"/>
    <n v="500"/>
    <n v="0"/>
    <n v="0"/>
    <m/>
    <n v="300"/>
    <n v="200"/>
    <m/>
  </r>
  <r>
    <s v="GU001"/>
    <x v="1"/>
    <s v="Ed Srvcs"/>
    <s v="11BWD1"/>
    <s v="Economic &amp; Workforce Development"/>
    <x v="6"/>
    <s v="Institutional Dues/Memberships"/>
    <s v="679000"/>
    <m/>
    <m/>
    <n v="900"/>
    <n v="0"/>
    <n v="900"/>
    <n v="0"/>
    <n v="0"/>
    <m/>
    <n v="900"/>
    <n v="900"/>
    <m/>
  </r>
  <r>
    <s v="GU001"/>
    <x v="1"/>
    <s v="Ed Srvcs"/>
    <s v="11BWD1"/>
    <s v="Economic &amp; Workforce Development"/>
    <x v="21"/>
    <s v="Data Communication Services"/>
    <s v="684000"/>
    <m/>
    <m/>
    <m/>
    <m/>
    <m/>
    <m/>
    <m/>
    <n v="190.05"/>
    <m/>
    <m/>
    <m/>
  </r>
  <r>
    <s v="GU001"/>
    <x v="1"/>
    <s v="Ed Srvcs"/>
    <s v="11BWD1"/>
    <s v="Economic &amp; Workforce Development"/>
    <x v="14"/>
    <s v="Other Professional Fees"/>
    <s v="679000"/>
    <m/>
    <m/>
    <n v="675"/>
    <n v="0"/>
    <n v="675"/>
    <n v="0"/>
    <n v="0"/>
    <m/>
    <n v="675"/>
    <n v="675"/>
    <m/>
  </r>
  <r>
    <s v="GU001"/>
    <x v="1"/>
    <s v="Ed Srvcs"/>
    <s v="11BWD1"/>
    <s v="Economic &amp; Workforce Development"/>
    <x v="22"/>
    <s v="Library/Audio Visual Equipment"/>
    <s v="679000"/>
    <m/>
    <m/>
    <n v="0"/>
    <n v="680.99"/>
    <m/>
    <m/>
    <n v="0"/>
    <m/>
    <n v="0"/>
    <n v="0"/>
    <m/>
  </r>
  <r>
    <s v="GU001"/>
    <x v="1"/>
    <s v="Ed Srvcs"/>
    <s v="11BWD1"/>
    <s v="Economic &amp; Workforce Development"/>
    <x v="8"/>
    <s v="Computer/Technology Equipment"/>
    <s v="684000"/>
    <m/>
    <m/>
    <n v="0"/>
    <n v="325.67"/>
    <n v="0"/>
    <n v="2970.12"/>
    <n v="0"/>
    <m/>
    <n v="2500"/>
    <n v="2500"/>
    <m/>
  </r>
  <r>
    <s v="GU001"/>
    <x v="1"/>
    <s v="Ed Srvcs"/>
    <s v="11BWD1"/>
    <s v="Economic &amp; Workforce Development"/>
    <x v="8"/>
    <s v="Computer/Technology Equipment"/>
    <s v="679000"/>
    <m/>
    <m/>
    <m/>
    <m/>
    <n v="0"/>
    <n v="343.95"/>
    <n v="0"/>
    <m/>
    <n v="0"/>
    <n v="0"/>
    <m/>
  </r>
  <r>
    <s v="GU001"/>
    <x v="1"/>
    <s v="Ed Srvcs"/>
    <s v="11BWD1"/>
    <s v="Economic &amp; Workforce Development"/>
    <x v="23"/>
    <s v="Furniture"/>
    <s v="679000"/>
    <m/>
    <m/>
    <n v="0"/>
    <n v="2223.1999999999998"/>
    <n v="0"/>
    <n v="695"/>
    <n v="0"/>
    <m/>
    <n v="0"/>
    <n v="0"/>
    <m/>
  </r>
  <r>
    <s v="GU001"/>
    <x v="2"/>
    <s v="Bus Srvcs"/>
    <s v="120BS0"/>
    <s v="Admin Svcs - Operating Budget"/>
    <x v="24"/>
    <s v="Classified Salary Abatement"/>
    <n v="672000"/>
    <m/>
    <m/>
    <m/>
    <m/>
    <m/>
    <m/>
    <n v="-22171.51"/>
    <m/>
    <m/>
    <m/>
    <m/>
  </r>
  <r>
    <s v="GU001"/>
    <x v="2"/>
    <s v="Bus Srvcs"/>
    <s v="120BS0"/>
    <s v="Admin Svcs - Operating Budget"/>
    <x v="25"/>
    <s v="Non-Inst Students"/>
    <s v="672000"/>
    <s v="DTL001"/>
    <m/>
    <n v="2500"/>
    <n v="0"/>
    <m/>
    <m/>
    <m/>
    <m/>
    <m/>
    <m/>
    <m/>
  </r>
  <r>
    <s v="GU001"/>
    <x v="2"/>
    <s v="Bus Srvcs"/>
    <s v="120BS0"/>
    <s v="Admin Svcs - Operating Budget"/>
    <x v="26"/>
    <s v="Cls Oth - Temp"/>
    <s v="672000"/>
    <m/>
    <m/>
    <m/>
    <m/>
    <n v="0"/>
    <n v="22606.21"/>
    <m/>
    <m/>
    <m/>
    <m/>
    <m/>
  </r>
  <r>
    <s v="GU001"/>
    <x v="2"/>
    <s v="Bus Srvcs"/>
    <s v="120BS0"/>
    <s v="Admin Svcs - Operating Budget"/>
    <x v="0"/>
    <s v="Non-Library/Magazines/Bks/Prdcls"/>
    <s v="672000"/>
    <m/>
    <m/>
    <n v="200"/>
    <n v="179.43"/>
    <n v="250"/>
    <n v="0"/>
    <n v="250"/>
    <n v="0"/>
    <n v="150"/>
    <n v="100"/>
    <m/>
  </r>
  <r>
    <s v="GU001"/>
    <x v="2"/>
    <s v="Bus Srvcs"/>
    <s v="120BS0"/>
    <s v="Admin Svcs - Operating Budget"/>
    <x v="1"/>
    <s v="Non-Inst Supplies &amp; Materials"/>
    <s v="672000"/>
    <m/>
    <m/>
    <n v="30400"/>
    <n v="18292.5"/>
    <n v="30900"/>
    <n v="8824.92"/>
    <n v="30900"/>
    <n v="5185.42"/>
    <n v="20000"/>
    <n v="15000"/>
    <m/>
  </r>
  <r>
    <s v="GU001"/>
    <x v="2"/>
    <s v="Bus Srvcs"/>
    <s v="120BS0"/>
    <s v="Admin Svcs - Operating Budget"/>
    <x v="2"/>
    <s v="Oth Non-Inst Consulting Services"/>
    <s v="672000"/>
    <m/>
    <m/>
    <n v="152500"/>
    <n v="111924.34"/>
    <n v="205000"/>
    <n v="109345.95"/>
    <n v="155000"/>
    <n v="26667.5"/>
    <n v="155000"/>
    <n v="155000"/>
    <s v="Review Dale Scott and Bank Mobile Contractual charges"/>
  </r>
  <r>
    <s v="GU001"/>
    <x v="2"/>
    <s v="Bus Srvcs"/>
    <s v="120BS0"/>
    <s v="Admin Svcs - Operating Budget"/>
    <x v="3"/>
    <s v="Employee Travel"/>
    <s v="672000"/>
    <m/>
    <m/>
    <n v="18000"/>
    <n v="14093.44"/>
    <n v="24000"/>
    <n v="6031.54"/>
    <n v="24000"/>
    <n v="750"/>
    <n v="10000"/>
    <n v="10000"/>
    <s v="Split w/Acct 5220 due to Fall COVID"/>
  </r>
  <r>
    <s v="GU001"/>
    <x v="2"/>
    <s v="Bus Srvcs"/>
    <s v="120BS0"/>
    <s v="Admin Svcs - Operating Budget"/>
    <x v="27"/>
    <s v="Employee Travel DO"/>
    <s v="672000"/>
    <m/>
    <m/>
    <n v="6000"/>
    <n v="56.84"/>
    <m/>
    <m/>
    <m/>
    <m/>
    <m/>
    <m/>
    <m/>
  </r>
  <r>
    <s v="GU001"/>
    <x v="2"/>
    <s v="Bus Srvcs"/>
    <s v="120BS0"/>
    <s v="Admin Svcs - Operating Budget"/>
    <x v="4"/>
    <s v="(Local) Online Training/Webinar"/>
    <s v="672000"/>
    <m/>
    <m/>
    <m/>
    <m/>
    <n v="0"/>
    <n v="756.99"/>
    <n v="0"/>
    <n v="299"/>
    <n v="10000"/>
    <n v="8000"/>
    <s v="Split w/Acct 5220 due to Fall COVID"/>
  </r>
  <r>
    <s v="GU001"/>
    <x v="2"/>
    <s v="Bus Srvcs"/>
    <s v="120BS0"/>
    <s v="Admin Svcs - Operating Budget"/>
    <x v="5"/>
    <s v="Food/Meetings"/>
    <s v="672000"/>
    <m/>
    <m/>
    <n v="1800"/>
    <n v="1857.6"/>
    <n v="2000"/>
    <n v="1206.01"/>
    <n v="2000"/>
    <n v="0"/>
    <n v="1500"/>
    <n v="1500"/>
    <m/>
  </r>
  <r>
    <s v="GU001"/>
    <x v="2"/>
    <s v="Bus Srvcs"/>
    <s v="120BS0"/>
    <s v="Admin Svcs - Operating Budget"/>
    <x v="6"/>
    <s v="Institutional Dues/Memberships"/>
    <s v="672000"/>
    <m/>
    <m/>
    <n v="2500"/>
    <n v="4826.08"/>
    <n v="3200"/>
    <n v="1390.68"/>
    <n v="1267"/>
    <n v="0"/>
    <n v="1800"/>
    <n v="1800"/>
    <m/>
  </r>
  <r>
    <s v="GU001"/>
    <x v="2"/>
    <s v="Bus Srvcs"/>
    <s v="120BS0"/>
    <s v="Admin Svcs - Operating Budget"/>
    <x v="7"/>
    <s v="Software Licensing/Maintenance Svcs"/>
    <s v="672000"/>
    <m/>
    <m/>
    <n v="50000"/>
    <n v="41553.61"/>
    <n v="141250"/>
    <n v="40306.11"/>
    <n v="105000"/>
    <n v="3339.78"/>
    <n v="105825"/>
    <n v="105825"/>
    <m/>
  </r>
  <r>
    <s v="GU001"/>
    <x v="2"/>
    <s v="Bus Srvcs"/>
    <s v="120BS0"/>
    <s v="Admin Svcs - Operating Budget"/>
    <x v="28"/>
    <s v="Building Maintenance"/>
    <s v="651000"/>
    <s v="CIC017"/>
    <s v="CM"/>
    <n v="0"/>
    <n v="0"/>
    <m/>
    <m/>
    <m/>
    <m/>
    <m/>
    <m/>
    <m/>
  </r>
  <r>
    <s v="GU001"/>
    <x v="2"/>
    <s v="Bus Srvcs"/>
    <s v="120BS0"/>
    <s v="Admin Svcs - Operating Budget"/>
    <x v="29"/>
    <s v="Oth Equipment Maint Agreements"/>
    <s v="672000"/>
    <m/>
    <m/>
    <m/>
    <m/>
    <m/>
    <m/>
    <n v="0"/>
    <n v="2649"/>
    <n v="0"/>
    <n v="0"/>
    <m/>
  </r>
  <r>
    <s v="GU001"/>
    <x v="2"/>
    <s v="Bus Srvcs"/>
    <s v="120BS0"/>
    <s v="Admin Svcs - Operating Budget"/>
    <x v="30"/>
    <s v="Other Maintenance Contracts"/>
    <s v="672000"/>
    <m/>
    <m/>
    <m/>
    <m/>
    <n v="0"/>
    <n v="1206"/>
    <m/>
    <m/>
    <m/>
    <m/>
    <m/>
  </r>
  <r>
    <s v="GU001"/>
    <x v="2"/>
    <s v="Bus Srvcs"/>
    <s v="120BS0"/>
    <s v="Admin Svcs - Operating Budget"/>
    <x v="31"/>
    <s v="Attorney Fees - Oth"/>
    <s v="672000"/>
    <m/>
    <m/>
    <n v="5000"/>
    <n v="0"/>
    <m/>
    <m/>
    <m/>
    <m/>
    <m/>
    <m/>
    <m/>
  </r>
  <r>
    <s v="GU001"/>
    <x v="2"/>
    <s v="Bus Srvcs"/>
    <s v="120BS0"/>
    <s v="Admin Svcs - Operating Budget"/>
    <x v="32"/>
    <s v="Settlement Expense"/>
    <s v="672000"/>
    <m/>
    <m/>
    <n v="0"/>
    <n v="385948.61"/>
    <m/>
    <m/>
    <m/>
    <m/>
    <m/>
    <m/>
    <m/>
  </r>
  <r>
    <s v="GU001"/>
    <x v="2"/>
    <s v="Bus Srvcs"/>
    <s v="120BS0"/>
    <s v="Admin Svcs - Operating Budget"/>
    <x v="33"/>
    <s v="Bank Charges"/>
    <s v="672000"/>
    <m/>
    <m/>
    <n v="185000"/>
    <n v="172360.32000000001"/>
    <n v="185000"/>
    <n v="222528.35"/>
    <n v="185000"/>
    <n v="28557.42"/>
    <n v="185000"/>
    <n v="185000"/>
    <s v="Review Official Payments charges"/>
  </r>
  <r>
    <s v="GU001"/>
    <x v="2"/>
    <s v="Bus Srvcs"/>
    <s v="120BS0"/>
    <s v="Admin Svcs - Operating Budget"/>
    <x v="34"/>
    <s v="Credit Card Expense"/>
    <s v="672000"/>
    <m/>
    <m/>
    <n v="21900"/>
    <n v="20079.13"/>
    <n v="21900"/>
    <n v="14006.68"/>
    <n v="21900"/>
    <n v="454.33"/>
    <n v="21900"/>
    <n v="21900"/>
    <m/>
  </r>
  <r>
    <s v="GU001"/>
    <x v="2"/>
    <s v="Bus Srvcs"/>
    <s v="120BS0"/>
    <s v="Admin Svcs - Operating Budget"/>
    <x v="35"/>
    <s v="Bad Debt Expense"/>
    <s v="672000"/>
    <m/>
    <m/>
    <n v="0"/>
    <n v="4287.3"/>
    <n v="0"/>
    <n v="42181.27"/>
    <m/>
    <m/>
    <m/>
    <m/>
    <m/>
  </r>
  <r>
    <s v="GU001"/>
    <x v="2"/>
    <s v="Bus Srvcs"/>
    <s v="120BS0"/>
    <s v="Admin Svcs - Operating Budget"/>
    <x v="36"/>
    <s v="Collection Services"/>
    <s v="672000"/>
    <m/>
    <m/>
    <n v="10000"/>
    <n v="0"/>
    <m/>
    <m/>
    <m/>
    <m/>
    <m/>
    <m/>
    <m/>
  </r>
  <r>
    <s v="GU001"/>
    <x v="2"/>
    <s v="Bus Srvcs"/>
    <s v="120BS0"/>
    <s v="Admin Svcs - Operating Budget"/>
    <x v="37"/>
    <s v="Interest - Current Debt"/>
    <s v="672000"/>
    <m/>
    <m/>
    <m/>
    <m/>
    <n v="0"/>
    <n v="416.15"/>
    <m/>
    <m/>
    <m/>
    <m/>
    <m/>
  </r>
  <r>
    <s v="GU001"/>
    <x v="2"/>
    <s v="Bus Srvcs"/>
    <s v="120BS0"/>
    <s v="Admin Svcs - Operating Budget"/>
    <x v="15"/>
    <s v="General Advertising Services"/>
    <s v="672000"/>
    <m/>
    <m/>
    <n v="2000"/>
    <n v="0"/>
    <n v="2000"/>
    <n v="213.76"/>
    <n v="2000"/>
    <n v="0"/>
    <n v="1000"/>
    <n v="1000"/>
    <m/>
  </r>
  <r>
    <s v="GU001"/>
    <x v="2"/>
    <s v="Bus Srvcs"/>
    <s v="120BS0"/>
    <s v="Admin Svcs - Operating Budget"/>
    <x v="38"/>
    <s v="Cash Over - Short"/>
    <s v="672000"/>
    <m/>
    <m/>
    <m/>
    <m/>
    <n v="0"/>
    <n v="0"/>
    <m/>
    <m/>
    <m/>
    <m/>
    <m/>
  </r>
  <r>
    <s v="GU001"/>
    <x v="2"/>
    <s v="Bus Srvcs"/>
    <s v="120BS0"/>
    <s v="Admin Svcs - Operating Budget"/>
    <x v="39"/>
    <s v="Taxes - Licenses &amp; Permits"/>
    <s v="672000"/>
    <m/>
    <m/>
    <n v="57309"/>
    <n v="37050.07"/>
    <n v="35000"/>
    <n v="14506.32"/>
    <n v="35000"/>
    <n v="37603.4"/>
    <n v="38000"/>
    <n v="38000"/>
    <m/>
  </r>
  <r>
    <s v="GU001"/>
    <x v="2"/>
    <s v="Bus Srvcs"/>
    <s v="120BS0"/>
    <s v="Admin Svcs - Operating Budget"/>
    <x v="40"/>
    <s v="Other Services &amp; Expenses"/>
    <s v="672000"/>
    <m/>
    <m/>
    <n v="15800"/>
    <n v="3452.07"/>
    <n v="15000"/>
    <n v="53024"/>
    <n v="15000"/>
    <n v="3300"/>
    <n v="15000"/>
    <n v="15000"/>
    <m/>
  </r>
  <r>
    <s v="GU001"/>
    <x v="2"/>
    <s v="Bus Srvcs"/>
    <s v="120BS0"/>
    <s v="Admin Svcs - Operating Budget"/>
    <x v="41"/>
    <s v="Prior Periods Adjustments"/>
    <s v="672000"/>
    <m/>
    <m/>
    <n v="0"/>
    <n v="4420"/>
    <n v="0"/>
    <n v="-2202.04"/>
    <n v="0"/>
    <n v="0"/>
    <n v="0"/>
    <n v="0"/>
    <m/>
  </r>
  <r>
    <s v="GU001"/>
    <x v="2"/>
    <s v="Bus Srvcs"/>
    <s v="120BS0"/>
    <s v="Admin Svcs - Operating Budget"/>
    <x v="8"/>
    <s v="Computer/Technology Equipment"/>
    <s v="672000"/>
    <m/>
    <m/>
    <m/>
    <m/>
    <n v="5000"/>
    <n v="8351.9"/>
    <n v="5000"/>
    <n v="5500.52"/>
    <n v="5600"/>
    <n v="5600"/>
    <m/>
  </r>
  <r>
    <s v="GU001"/>
    <x v="2"/>
    <s v="Bus Srvcs"/>
    <s v="120BS0"/>
    <s v="Admin Svcs - Operating Budget"/>
    <x v="23"/>
    <s v="Furniture"/>
    <s v="672000"/>
    <m/>
    <m/>
    <n v="0"/>
    <n v="0"/>
    <m/>
    <m/>
    <m/>
    <m/>
    <m/>
    <m/>
    <m/>
  </r>
  <r>
    <s v="GU001"/>
    <x v="2"/>
    <s v="Bus Srvcs"/>
    <s v="120BS0"/>
    <s v="Admin Svcs - Operating Budget"/>
    <x v="42"/>
    <s v="Furniture"/>
    <s v="672000"/>
    <m/>
    <m/>
    <n v="0"/>
    <n v="11125.03"/>
    <m/>
    <m/>
    <m/>
    <m/>
    <m/>
    <m/>
    <m/>
  </r>
  <r>
    <s v="GU001"/>
    <x v="2"/>
    <s v="Bus Srvcs"/>
    <s v="120BS0"/>
    <s v="Admin Svcs - Operating Budget"/>
    <x v="43"/>
    <s v="Other Equipment"/>
    <s v="672000"/>
    <m/>
    <m/>
    <n v="0"/>
    <n v="7511.73"/>
    <n v="0"/>
    <n v="3929.66"/>
    <m/>
    <m/>
    <m/>
    <m/>
    <m/>
  </r>
  <r>
    <s v="GU001"/>
    <x v="2"/>
    <s v="Bus Srvcs"/>
    <s v="120BS0"/>
    <s v="Admin Svcs - Operating Budget"/>
    <x v="44"/>
    <s v="Other Equipment"/>
    <s v="672000"/>
    <m/>
    <m/>
    <n v="5000"/>
    <n v="0"/>
    <n v="5000"/>
    <n v="0"/>
    <n v="5000"/>
    <n v="0"/>
    <n v="5000"/>
    <n v="5000"/>
    <m/>
  </r>
  <r>
    <s v="GU001"/>
    <x v="2"/>
    <s v="Bus Srvcs"/>
    <s v="120BS0"/>
    <s v="Admin Svcs - Operating Budget"/>
    <x v="9"/>
    <s v="Intrafund Transfers Out"/>
    <s v="672000"/>
    <m/>
    <m/>
    <m/>
    <m/>
    <m/>
    <m/>
    <n v="0"/>
    <n v="275000"/>
    <n v="0"/>
    <n v="0"/>
    <m/>
  </r>
  <r>
    <s v="GU001"/>
    <x v="2"/>
    <s v="Bus Srvcs"/>
    <s v="120BS0"/>
    <s v="Admin Svcs - Operating Budget"/>
    <x v="45"/>
    <s v="Intrafund Transfers In"/>
    <s v="672000"/>
    <m/>
    <m/>
    <n v="-27864815.079999998"/>
    <n v="0"/>
    <n v="-29346100"/>
    <n v="0"/>
    <n v="-29711494"/>
    <n v="0"/>
    <n v="0"/>
    <n v="0"/>
    <m/>
  </r>
  <r>
    <s v="GU001"/>
    <x v="2"/>
    <s v="Bus Srvcs"/>
    <s v="120BS0"/>
    <s v="Admin Svcs - Operating Budget"/>
    <x v="46"/>
    <s v="Unrestricted"/>
    <s v="672000"/>
    <m/>
    <s v="CI"/>
    <m/>
    <m/>
    <m/>
    <m/>
    <n v="0"/>
    <n v="0"/>
    <n v="0"/>
    <n v="0"/>
    <m/>
  </r>
  <r>
    <s v="GU001"/>
    <x v="2"/>
    <s v="Bus Srvcs"/>
    <s v="120BS0"/>
    <s v="Admin Svcs - Operating Budget"/>
    <x v="46"/>
    <s v="Unrestricted"/>
    <s v="672000"/>
    <m/>
    <m/>
    <n v="25730328.719999999"/>
    <n v="0"/>
    <n v="20585678.079999998"/>
    <n v="0"/>
    <n v="67857213"/>
    <n v="0"/>
    <n v="0"/>
    <n v="0"/>
    <m/>
  </r>
  <r>
    <s v="GU001"/>
    <x v="2"/>
    <s v="Bus Srvcs"/>
    <s v="120BS1"/>
    <s v="Purchasing"/>
    <x v="3"/>
    <s v="Employee Travel"/>
    <s v="672000"/>
    <m/>
    <m/>
    <m/>
    <m/>
    <m/>
    <m/>
    <n v="5100"/>
    <n v="0"/>
    <n v="4947"/>
    <n v="4845"/>
    <m/>
  </r>
  <r>
    <s v="GU001"/>
    <x v="2"/>
    <s v="Bus Srvcs"/>
    <s v="120BS1"/>
    <s v="Purchasing"/>
    <x v="5"/>
    <s v="Food/Meetings"/>
    <s v="672000"/>
    <m/>
    <m/>
    <m/>
    <m/>
    <m/>
    <m/>
    <n v="200"/>
    <n v="0"/>
    <n v="194"/>
    <n v="190"/>
    <m/>
  </r>
  <r>
    <s v="GU001"/>
    <x v="2"/>
    <s v="Bus Srvcs"/>
    <s v="120BS1"/>
    <s v="Purchasing"/>
    <x v="6"/>
    <s v="Institutional Dues/Memberships"/>
    <s v="672000"/>
    <m/>
    <m/>
    <m/>
    <m/>
    <m/>
    <m/>
    <n v="533"/>
    <n v="280"/>
    <n v="517"/>
    <n v="506"/>
    <m/>
  </r>
  <r>
    <s v="GU001"/>
    <x v="2"/>
    <s v="Bus Srvcs"/>
    <s v="120BS1"/>
    <s v="Purchasing"/>
    <x v="7"/>
    <s v="Software Licensing/Maintenance Svcs"/>
    <s v="672000"/>
    <m/>
    <m/>
    <m/>
    <m/>
    <m/>
    <m/>
    <n v="40000"/>
    <n v="0"/>
    <n v="38800"/>
    <n v="38000"/>
    <s v="iContracts budgeted in IT for FY22; this is for a travel software"/>
  </r>
  <r>
    <s v="GU001"/>
    <x v="2"/>
    <s v="Bus Srvcs"/>
    <s v="120BS1"/>
    <s v="Purchasing"/>
    <x v="15"/>
    <s v="General Advertising Services"/>
    <s v="672000"/>
    <m/>
    <m/>
    <m/>
    <m/>
    <m/>
    <m/>
    <n v="1000"/>
    <n v="0"/>
    <n v="970"/>
    <n v="950"/>
    <m/>
  </r>
  <r>
    <s v="GU001"/>
    <x v="2"/>
    <s v="Bus Srvcs"/>
    <s v="120BS8"/>
    <s v="Insurance Claims"/>
    <x v="47"/>
    <s v="Maint &amp; Repairs Supplies"/>
    <s v="651000"/>
    <s v="BIC018"/>
    <m/>
    <n v="0"/>
    <n v="5653.94"/>
    <m/>
    <m/>
    <m/>
    <m/>
    <m/>
    <m/>
    <m/>
  </r>
  <r>
    <s v="GU001"/>
    <x v="2"/>
    <s v="Bus Srvcs"/>
    <s v="120BS8"/>
    <s v="Insurance Claims"/>
    <x v="48"/>
    <s v="Vehicle Supplies - Parts"/>
    <s v="672000"/>
    <s v="BIC023"/>
    <m/>
    <m/>
    <m/>
    <n v="0"/>
    <n v="0"/>
    <n v="0"/>
    <n v="0"/>
    <n v="0"/>
    <n v="0"/>
    <m/>
  </r>
  <r>
    <s v="GU001"/>
    <x v="2"/>
    <s v="Bus Srvcs"/>
    <s v="120BS8"/>
    <s v="Insurance Claims"/>
    <x v="2"/>
    <s v="Oth Non-Inst Consulting Services"/>
    <s v="672000"/>
    <s v="BIC021"/>
    <m/>
    <m/>
    <m/>
    <n v="0"/>
    <n v="2500"/>
    <m/>
    <m/>
    <m/>
    <m/>
    <m/>
  </r>
  <r>
    <s v="GU001"/>
    <x v="2"/>
    <s v="Bus Srvcs"/>
    <s v="120BS8"/>
    <s v="Insurance Claims"/>
    <x v="49"/>
    <s v="Insurance Deductibles"/>
    <s v="672000"/>
    <s v="CIC018"/>
    <m/>
    <n v="0"/>
    <n v="280.39999999999998"/>
    <m/>
    <m/>
    <m/>
    <m/>
    <m/>
    <m/>
    <m/>
  </r>
  <r>
    <s v="GU001"/>
    <x v="2"/>
    <s v="Bus Srvcs"/>
    <s v="120BS8"/>
    <s v="Insurance Claims"/>
    <x v="49"/>
    <s v="Insurance Deductibles"/>
    <s v="672000"/>
    <s v="BIC023"/>
    <m/>
    <m/>
    <m/>
    <n v="0"/>
    <n v="782.86"/>
    <n v="0"/>
    <n v="0"/>
    <n v="0"/>
    <n v="0"/>
    <m/>
  </r>
  <r>
    <s v="GU001"/>
    <x v="2"/>
    <s v="Bus Srvcs"/>
    <s v="120BS8"/>
    <s v="Insurance Claims"/>
    <x v="49"/>
    <s v="Insurance Deductibles"/>
    <s v="672000"/>
    <m/>
    <m/>
    <n v="2500"/>
    <n v="0"/>
    <n v="7000"/>
    <n v="0"/>
    <n v="7500"/>
    <n v="0"/>
    <n v="5000"/>
    <n v="4500"/>
    <m/>
  </r>
  <r>
    <s v="GU001"/>
    <x v="2"/>
    <s v="Bus Srvcs"/>
    <s v="120BS8"/>
    <s v="Insurance Claims"/>
    <x v="49"/>
    <s v="Insurance Deductibles"/>
    <s v="672000"/>
    <s v="BIC019"/>
    <m/>
    <n v="0"/>
    <n v="371.2"/>
    <m/>
    <m/>
    <m/>
    <m/>
    <m/>
    <m/>
    <m/>
  </r>
  <r>
    <s v="GU001"/>
    <x v="2"/>
    <s v="Bus Srvcs"/>
    <s v="120BS8"/>
    <s v="Insurance Claims"/>
    <x v="49"/>
    <s v="Insurance Deductibles"/>
    <s v="672000"/>
    <s v="PIC005"/>
    <m/>
    <n v="0"/>
    <n v="200"/>
    <m/>
    <m/>
    <m/>
    <m/>
    <m/>
    <m/>
    <m/>
  </r>
  <r>
    <s v="GU001"/>
    <x v="2"/>
    <s v="Bus Srvcs"/>
    <s v="120BS8"/>
    <s v="Insurance Claims"/>
    <x v="49"/>
    <s v="Insurance Deductibles"/>
    <s v="672000"/>
    <s v="BIC021"/>
    <m/>
    <m/>
    <m/>
    <n v="0"/>
    <n v="50"/>
    <m/>
    <m/>
    <m/>
    <m/>
    <m/>
  </r>
  <r>
    <s v="GU001"/>
    <x v="2"/>
    <s v="Bus Srvcs"/>
    <s v="120BS8"/>
    <s v="Insurance Claims"/>
    <x v="49"/>
    <s v="Insurance Deductibles"/>
    <s v="672000"/>
    <s v="CIC015"/>
    <m/>
    <n v="0"/>
    <n v="1000"/>
    <m/>
    <m/>
    <m/>
    <m/>
    <m/>
    <m/>
    <m/>
  </r>
  <r>
    <s v="GU001"/>
    <x v="2"/>
    <s v="Bus Srvcs"/>
    <s v="120BS8"/>
    <s v="Insurance Claims"/>
    <x v="49"/>
    <s v="Insurance Deductibles"/>
    <s v="672000"/>
    <s v="DIC007"/>
    <m/>
    <m/>
    <m/>
    <n v="0"/>
    <n v="104.5"/>
    <n v="0"/>
    <n v="0"/>
    <n v="0"/>
    <n v="0"/>
    <m/>
  </r>
  <r>
    <s v="GU001"/>
    <x v="2"/>
    <s v="Bus Srvcs"/>
    <s v="120BS8"/>
    <s v="Insurance Claims"/>
    <x v="49"/>
    <s v="Insurance Deductibles"/>
    <s v="672000"/>
    <s v="DIC005"/>
    <m/>
    <n v="0"/>
    <n v="190"/>
    <m/>
    <m/>
    <m/>
    <m/>
    <m/>
    <m/>
    <m/>
  </r>
  <r>
    <s v="GU001"/>
    <x v="2"/>
    <s v="Bus Srvcs"/>
    <s v="120BS8"/>
    <s v="Insurance Claims"/>
    <x v="49"/>
    <s v="Insurance Deductibles"/>
    <s v="672000"/>
    <s v="DIC006"/>
    <m/>
    <n v="0"/>
    <n v="311.89"/>
    <m/>
    <m/>
    <m/>
    <m/>
    <m/>
    <m/>
    <m/>
  </r>
  <r>
    <s v="GU001"/>
    <x v="2"/>
    <s v="Bus Srvcs"/>
    <s v="120BS8"/>
    <s v="Insurance Claims"/>
    <x v="49"/>
    <s v="Insurance Deductibles"/>
    <s v="672000"/>
    <s v="BIC022"/>
    <m/>
    <m/>
    <m/>
    <n v="0"/>
    <n v="204.9"/>
    <m/>
    <m/>
    <m/>
    <m/>
    <m/>
  </r>
  <r>
    <s v="GU001"/>
    <x v="2"/>
    <s v="Bus Srvcs"/>
    <s v="120BS8"/>
    <s v="Insurance Claims"/>
    <x v="49"/>
    <s v="Insurance Deductibles"/>
    <s v="672000"/>
    <s v="PIC006"/>
    <m/>
    <m/>
    <m/>
    <n v="0"/>
    <n v="1000"/>
    <m/>
    <m/>
    <m/>
    <m/>
    <m/>
  </r>
  <r>
    <s v="GU001"/>
    <x v="2"/>
    <s v="Bus Srvcs"/>
    <s v="120BS8"/>
    <s v="Insurance Claims"/>
    <x v="7"/>
    <s v="Software Licensing/Maintenance Svcs"/>
    <s v="672000"/>
    <s v="CIC022"/>
    <m/>
    <m/>
    <m/>
    <n v="0"/>
    <n v="981.66"/>
    <m/>
    <m/>
    <m/>
    <m/>
    <m/>
  </r>
  <r>
    <s v="GU001"/>
    <x v="2"/>
    <s v="Bus Srvcs"/>
    <s v="120BS8"/>
    <s v="Insurance Claims"/>
    <x v="28"/>
    <s v="Building Maintenance"/>
    <s v="651000"/>
    <s v="BIC018"/>
    <m/>
    <n v="0"/>
    <n v="3760"/>
    <m/>
    <m/>
    <m/>
    <m/>
    <m/>
    <m/>
    <m/>
  </r>
  <r>
    <s v="GU001"/>
    <x v="2"/>
    <s v="Bus Srvcs"/>
    <s v="120BS8"/>
    <s v="Insurance Claims"/>
    <x v="28"/>
    <s v="Building Maintenance"/>
    <s v="651000"/>
    <s v="CIC017"/>
    <s v="CM"/>
    <n v="0"/>
    <n v="22606.67"/>
    <m/>
    <m/>
    <m/>
    <m/>
    <m/>
    <m/>
    <m/>
  </r>
  <r>
    <s v="GU001"/>
    <x v="2"/>
    <s v="Bus Srvcs"/>
    <s v="120BS8"/>
    <s v="Insurance Claims"/>
    <x v="28"/>
    <s v="Building Maintenance"/>
    <s v="672000"/>
    <s v="CIC023"/>
    <s v="CI"/>
    <m/>
    <m/>
    <m/>
    <m/>
    <n v="0"/>
    <n v="0"/>
    <n v="0"/>
    <n v="0"/>
    <m/>
  </r>
  <r>
    <s v="GU001"/>
    <x v="2"/>
    <s v="Bus Srvcs"/>
    <s v="120BS8"/>
    <s v="Insurance Claims"/>
    <x v="50"/>
    <s v="Vehicle Repairs &amp; Maintenance"/>
    <s v="672000"/>
    <s v="BIC023"/>
    <m/>
    <m/>
    <m/>
    <n v="0"/>
    <n v="1014.04"/>
    <m/>
    <m/>
    <m/>
    <m/>
    <m/>
  </r>
  <r>
    <s v="GU001"/>
    <x v="2"/>
    <s v="Bus Srvcs"/>
    <s v="120BS8"/>
    <s v="Insurance Claims"/>
    <x v="51"/>
    <s v="Other Maintenance/Repairs"/>
    <s v="672000"/>
    <s v="BIC023"/>
    <m/>
    <m/>
    <m/>
    <n v="0"/>
    <n v="1320.54"/>
    <m/>
    <m/>
    <m/>
    <m/>
    <m/>
  </r>
  <r>
    <s v="GU001"/>
    <x v="2"/>
    <s v="Bus Srvcs"/>
    <s v="120BS8"/>
    <s v="Insurance Claims"/>
    <x v="8"/>
    <s v="Computer/Technology Equipment"/>
    <s v="672000"/>
    <s v="CIC022"/>
    <m/>
    <m/>
    <m/>
    <n v="0"/>
    <n v="4193.04"/>
    <m/>
    <m/>
    <m/>
    <m/>
    <m/>
  </r>
  <r>
    <s v="GU001"/>
    <x v="2"/>
    <s v="Bus Srvcs"/>
    <s v="120BS8"/>
    <s v="Insurance Claims"/>
    <x v="43"/>
    <s v="Other Equipment"/>
    <s v="672000"/>
    <s v="BIC023"/>
    <m/>
    <m/>
    <m/>
    <n v="0"/>
    <n v="5370.31"/>
    <m/>
    <m/>
    <m/>
    <m/>
    <m/>
  </r>
  <r>
    <s v="GU001"/>
    <x v="2"/>
    <s v="Bus Srvcs"/>
    <s v="120BS8"/>
    <s v="Insurance Claims"/>
    <x v="43"/>
    <s v="Other Equipment"/>
    <s v="672000"/>
    <s v="BIC024"/>
    <m/>
    <m/>
    <m/>
    <n v="0"/>
    <n v="5198.3900000000003"/>
    <m/>
    <m/>
    <m/>
    <m/>
    <m/>
  </r>
  <r>
    <s v="GU001"/>
    <x v="2"/>
    <s v="Bus Srvcs"/>
    <s v="120BS8"/>
    <s v="Insurance Claims"/>
    <x v="44"/>
    <s v="Other Equipment"/>
    <s v="672000"/>
    <s v="BIC017"/>
    <m/>
    <n v="0"/>
    <n v="5442.94"/>
    <m/>
    <m/>
    <m/>
    <m/>
    <m/>
    <m/>
    <m/>
  </r>
  <r>
    <s v="GU001"/>
    <x v="2"/>
    <s v="Bus Srvcs"/>
    <s v="120BS8"/>
    <s v="Insurance Claims"/>
    <x v="44"/>
    <s v="Other Equipment"/>
    <s v="659011"/>
    <s v="DIC007"/>
    <m/>
    <m/>
    <m/>
    <n v="0"/>
    <n v="17968.63"/>
    <m/>
    <m/>
    <m/>
    <m/>
    <m/>
  </r>
  <r>
    <s v="GU001"/>
    <x v="2"/>
    <s v="Bus Srvcs"/>
    <s v="122BS2"/>
    <s v="Accounting &amp; Special Services"/>
    <x v="52"/>
    <s v="Class Non-Instr Overtime"/>
    <s v="672000"/>
    <m/>
    <m/>
    <m/>
    <m/>
    <m/>
    <m/>
    <n v="0"/>
    <n v="5775.58"/>
    <n v="4500"/>
    <n v="4500"/>
    <m/>
  </r>
  <r>
    <s v="GU001"/>
    <x v="2"/>
    <s v="Bus Srvcs"/>
    <s v="122BS2"/>
    <s v="Accounting &amp; Special Services"/>
    <x v="26"/>
    <s v="Cls Oth - Temp"/>
    <s v="672000"/>
    <m/>
    <m/>
    <m/>
    <m/>
    <n v="0"/>
    <n v="32282.6"/>
    <n v="0"/>
    <n v="14176.69"/>
    <n v="14000"/>
    <n v="14000"/>
    <m/>
  </r>
  <r>
    <s v="GU001"/>
    <x v="2"/>
    <s v="Bus Srvcs"/>
    <s v="122BS2"/>
    <s v="Accounting &amp; Special Services"/>
    <x v="53"/>
    <s v="Indirect Cost(Reimbursement)"/>
    <s v="684000"/>
    <m/>
    <m/>
    <n v="0"/>
    <n v="-77442.429999999993"/>
    <m/>
    <m/>
    <m/>
    <m/>
    <m/>
    <m/>
    <m/>
  </r>
  <r>
    <s v="GU001"/>
    <x v="2"/>
    <s v="Bus Srvcs"/>
    <s v="122BS3"/>
    <s v="BC Business Office"/>
    <x v="25"/>
    <s v="Non-Inst Students"/>
    <s v="672000"/>
    <s v="DTL001"/>
    <m/>
    <m/>
    <m/>
    <n v="5500"/>
    <n v="0"/>
    <n v="6000"/>
    <n v="0"/>
    <n v="3000"/>
    <n v="3000"/>
    <m/>
  </r>
  <r>
    <s v="GU001"/>
    <x v="2"/>
    <s v="Bus Srvcs"/>
    <s v="122BS3"/>
    <s v="BC Business Office"/>
    <x v="25"/>
    <s v="Non-Inst Students"/>
    <s v="672000"/>
    <s v="BTL001"/>
    <m/>
    <n v="0"/>
    <n v="1809.5"/>
    <n v="0"/>
    <n v="4257.5"/>
    <m/>
    <m/>
    <m/>
    <m/>
    <m/>
  </r>
  <r>
    <s v="GU001"/>
    <x v="2"/>
    <s v="Bus Srvcs"/>
    <s v="122BS3"/>
    <s v="BC Business Office"/>
    <x v="52"/>
    <s v="Class Non-Instr Overtime"/>
    <s v="672000"/>
    <m/>
    <m/>
    <n v="0"/>
    <n v="1734.3"/>
    <n v="0"/>
    <n v="1580.77"/>
    <n v="0"/>
    <n v="128.1"/>
    <n v="0"/>
    <n v="0"/>
    <m/>
  </r>
  <r>
    <s v="GU001"/>
    <x v="2"/>
    <s v="Bus Srvcs"/>
    <s v="122BS3"/>
    <s v="BC Business Office"/>
    <x v="26"/>
    <s v="Cls Oth - Temp"/>
    <s v="672000"/>
    <m/>
    <m/>
    <m/>
    <m/>
    <n v="0"/>
    <n v="21676.27"/>
    <m/>
    <m/>
    <m/>
    <m/>
    <m/>
  </r>
  <r>
    <s v="GU001"/>
    <x v="2"/>
    <s v="Bus Srvcs"/>
    <s v="122BS3"/>
    <s v="BC Business Office"/>
    <x v="1"/>
    <s v="Non-Inst Supplies &amp; Materials"/>
    <s v="672000"/>
    <m/>
    <m/>
    <n v="3000"/>
    <n v="1229.52"/>
    <n v="3000"/>
    <n v="465.62"/>
    <n v="3000"/>
    <n v="0"/>
    <n v="1000"/>
    <n v="1000"/>
    <m/>
  </r>
  <r>
    <s v="GU001"/>
    <x v="2"/>
    <s v="Bus Srvcs"/>
    <s v="122BS3"/>
    <s v="BC Business Office"/>
    <x v="47"/>
    <s v="Maint &amp; Repairs Supplies"/>
    <s v="672000"/>
    <m/>
    <m/>
    <n v="300"/>
    <n v="0"/>
    <m/>
    <m/>
    <m/>
    <m/>
    <m/>
    <m/>
    <m/>
  </r>
  <r>
    <s v="GU001"/>
    <x v="2"/>
    <s v="Bus Srvcs"/>
    <s v="122BS3"/>
    <s v="BC Business Office"/>
    <x v="2"/>
    <s v="Oth Non-Inst Consulting Services"/>
    <s v="672000"/>
    <m/>
    <m/>
    <n v="2500"/>
    <n v="0"/>
    <m/>
    <m/>
    <m/>
    <m/>
    <m/>
    <m/>
    <m/>
  </r>
  <r>
    <s v="GU001"/>
    <x v="2"/>
    <s v="Bus Srvcs"/>
    <s v="122BS3"/>
    <s v="BC Business Office"/>
    <x v="3"/>
    <s v="Employee Travel"/>
    <s v="672000"/>
    <m/>
    <m/>
    <n v="750"/>
    <n v="0"/>
    <n v="0"/>
    <n v="172.5"/>
    <m/>
    <m/>
    <m/>
    <m/>
    <m/>
  </r>
  <r>
    <s v="GU001"/>
    <x v="2"/>
    <s v="Bus Srvcs"/>
    <s v="122BS3"/>
    <s v="BC Business Office"/>
    <x v="30"/>
    <s v="Other Maintenance Contracts"/>
    <s v="672000"/>
    <m/>
    <m/>
    <n v="0"/>
    <n v="96"/>
    <n v="0"/>
    <n v="120"/>
    <n v="100"/>
    <n v="0"/>
    <n v="0"/>
    <n v="0"/>
    <m/>
  </r>
  <r>
    <s v="GU001"/>
    <x v="2"/>
    <s v="Bus Srvcs"/>
    <s v="122BS3"/>
    <s v="BC Business Office"/>
    <x v="19"/>
    <s v="Postage/Express Overnight Svcs"/>
    <s v="672000"/>
    <m/>
    <m/>
    <n v="200"/>
    <n v="310.61"/>
    <n v="200"/>
    <n v="0"/>
    <n v="200"/>
    <n v="0"/>
    <n v="0"/>
    <n v="0"/>
    <m/>
  </r>
  <r>
    <s v="GU001"/>
    <x v="2"/>
    <s v="Bus Srvcs"/>
    <s v="122BS3"/>
    <s v="BC Business Office"/>
    <x v="33"/>
    <s v="Bank Charges"/>
    <s v="672000"/>
    <m/>
    <m/>
    <m/>
    <m/>
    <n v="0"/>
    <n v="30"/>
    <m/>
    <m/>
    <m/>
    <m/>
    <m/>
  </r>
  <r>
    <s v="GU001"/>
    <x v="2"/>
    <s v="Bus Srvcs"/>
    <s v="122BS3"/>
    <s v="BC Business Office"/>
    <x v="40"/>
    <s v="Other Services &amp; Expenses"/>
    <s v="672000"/>
    <m/>
    <m/>
    <n v="8500"/>
    <n v="12078.21"/>
    <n v="10000"/>
    <n v="7630.01"/>
    <n v="10000"/>
    <n v="360"/>
    <n v="10000"/>
    <n v="10000"/>
    <m/>
  </r>
  <r>
    <s v="GU001"/>
    <x v="2"/>
    <s v="Bus Srvcs"/>
    <s v="122BS4"/>
    <s v="PC Business Office"/>
    <x v="52"/>
    <s v="Class Non-Instr Overtime"/>
    <s v="672000"/>
    <m/>
    <m/>
    <m/>
    <m/>
    <m/>
    <m/>
    <n v="0"/>
    <n v="561.35"/>
    <n v="0"/>
    <n v="0"/>
    <m/>
  </r>
  <r>
    <s v="GU001"/>
    <x v="2"/>
    <s v="Bus Srvcs"/>
    <s v="122BS4"/>
    <s v="PC Business Office"/>
    <x v="1"/>
    <s v="Non-Inst Supplies &amp; Materials"/>
    <s v="672000"/>
    <m/>
    <m/>
    <n v="2000"/>
    <n v="1371.35"/>
    <n v="2000"/>
    <n v="1996.93"/>
    <n v="2000"/>
    <n v="32.409999999999997"/>
    <n v="1500"/>
    <n v="1300"/>
    <m/>
  </r>
  <r>
    <s v="GU001"/>
    <x v="2"/>
    <s v="Bus Srvcs"/>
    <s v="122BS4"/>
    <s v="PC Business Office"/>
    <x v="3"/>
    <s v="Employee Travel"/>
    <s v="672000"/>
    <m/>
    <m/>
    <n v="1000"/>
    <n v="0"/>
    <n v="1000"/>
    <n v="0"/>
    <n v="1000"/>
    <n v="0"/>
    <n v="0"/>
    <n v="0"/>
    <m/>
  </r>
  <r>
    <s v="GU001"/>
    <x v="2"/>
    <s v="Bus Srvcs"/>
    <s v="122BS4"/>
    <s v="PC Business Office"/>
    <x v="40"/>
    <s v="Other Services &amp; Expenses"/>
    <s v="672000"/>
    <m/>
    <m/>
    <n v="4500"/>
    <n v="4938.05"/>
    <n v="4900"/>
    <n v="5165.3500000000004"/>
    <n v="4900"/>
    <n v="198.77"/>
    <n v="3900"/>
    <n v="3900"/>
    <m/>
  </r>
  <r>
    <s v="GU001"/>
    <x v="2"/>
    <s v="Bus Srvcs"/>
    <s v="122BS5"/>
    <s v="CC Business Office"/>
    <x v="26"/>
    <s v="Cls Oth - Temp"/>
    <s v="672000"/>
    <m/>
    <m/>
    <m/>
    <m/>
    <m/>
    <m/>
    <n v="0"/>
    <n v="8646.31"/>
    <n v="0"/>
    <n v="0"/>
    <m/>
  </r>
  <r>
    <s v="GU001"/>
    <x v="2"/>
    <s v="Bus Srvcs"/>
    <s v="122BS5"/>
    <s v="CC Business Office"/>
    <x v="1"/>
    <s v="Non-Inst Supplies &amp; Materials"/>
    <s v="672000"/>
    <m/>
    <m/>
    <n v="1500"/>
    <n v="1440.27"/>
    <n v="1000"/>
    <n v="0"/>
    <n v="1000"/>
    <n v="0"/>
    <n v="0"/>
    <n v="0"/>
    <m/>
  </r>
  <r>
    <s v="GU001"/>
    <x v="2"/>
    <s v="Bus Srvcs"/>
    <s v="122BS5"/>
    <s v="CC Business Office"/>
    <x v="3"/>
    <s v="Employee Travel"/>
    <s v="672000"/>
    <m/>
    <m/>
    <n v="1000"/>
    <n v="181.49"/>
    <n v="1000"/>
    <n v="91.19"/>
    <n v="1000"/>
    <n v="0"/>
    <n v="0"/>
    <n v="0"/>
    <m/>
  </r>
  <r>
    <s v="GU001"/>
    <x v="2"/>
    <s v="Bus Srvcs"/>
    <s v="122BS5"/>
    <s v="CC Business Office"/>
    <x v="27"/>
    <s v="Employee Travel DO"/>
    <s v="672000"/>
    <m/>
    <m/>
    <n v="0"/>
    <n v="56.32"/>
    <n v="0"/>
    <n v="31.74"/>
    <m/>
    <m/>
    <m/>
    <m/>
    <m/>
  </r>
  <r>
    <s v="GU001"/>
    <x v="2"/>
    <s v="Bus Srvcs"/>
    <s v="122BS5"/>
    <s v="CC Business Office"/>
    <x v="38"/>
    <s v="Cash Over - Short"/>
    <s v="672000"/>
    <m/>
    <s v="CI"/>
    <n v="0"/>
    <n v="5.15"/>
    <m/>
    <m/>
    <m/>
    <m/>
    <m/>
    <m/>
    <m/>
  </r>
  <r>
    <s v="GU001"/>
    <x v="2"/>
    <s v="Bus Srvcs"/>
    <s v="122BS5"/>
    <s v="CC Business Office"/>
    <x v="38"/>
    <s v="Cash Over - Short"/>
    <s v="672000"/>
    <m/>
    <m/>
    <n v="0"/>
    <n v="-5.15"/>
    <n v="0"/>
    <n v="-1"/>
    <m/>
    <m/>
    <m/>
    <m/>
    <m/>
  </r>
  <r>
    <s v="GU001"/>
    <x v="2"/>
    <s v="Bus Srvcs"/>
    <s v="122BS5"/>
    <s v="CC Business Office"/>
    <x v="40"/>
    <s v="Other Services &amp; Expenses"/>
    <s v="672000"/>
    <m/>
    <m/>
    <n v="2000"/>
    <n v="0"/>
    <n v="2000"/>
    <n v="0"/>
    <n v="2000"/>
    <n v="0"/>
    <n v="1000"/>
    <n v="1000"/>
    <m/>
  </r>
  <r>
    <s v="GU001"/>
    <x v="2"/>
    <s v="Bus Srvcs"/>
    <s v="122BS5"/>
    <s v="CC Business Office"/>
    <x v="8"/>
    <s v="Computer/Technology Equipment"/>
    <s v="672000"/>
    <m/>
    <m/>
    <m/>
    <m/>
    <n v="0"/>
    <n v="310.79000000000002"/>
    <m/>
    <m/>
    <m/>
    <m/>
    <m/>
  </r>
  <r>
    <s v="GU001"/>
    <x v="2"/>
    <s v="Bus Srvcs"/>
    <s v="122BS6"/>
    <s v="Cash Accts Receivable&amp;Special Svcs."/>
    <x v="52"/>
    <s v="Class Non-Instr Overtime"/>
    <s v="672000"/>
    <m/>
    <m/>
    <n v="0"/>
    <n v="199.76"/>
    <n v="0"/>
    <n v="6097.54"/>
    <m/>
    <m/>
    <m/>
    <m/>
    <m/>
  </r>
  <r>
    <s v="GU001"/>
    <x v="2"/>
    <s v="Bus Srvcs"/>
    <s v="122BS6"/>
    <s v="Cash Accts Receivable&amp;Special Svcs."/>
    <x v="3"/>
    <s v="Employee Travel"/>
    <s v="672000"/>
    <m/>
    <m/>
    <n v="10000"/>
    <n v="0"/>
    <n v="8000"/>
    <n v="0"/>
    <n v="4000"/>
    <n v="0"/>
    <n v="3500"/>
    <n v="3500"/>
    <m/>
  </r>
  <r>
    <s v="GU001"/>
    <x v="2"/>
    <s v="Bus Srvcs"/>
    <s v="122BS7"/>
    <s v="Accounts Payable"/>
    <x v="25"/>
    <s v="Non-Inst Students"/>
    <s v="672000"/>
    <s v="BTL001"/>
    <m/>
    <n v="0"/>
    <n v="16644.5"/>
    <n v="0"/>
    <n v="19652.25"/>
    <m/>
    <m/>
    <m/>
    <m/>
    <m/>
  </r>
  <r>
    <s v="GU001"/>
    <x v="2"/>
    <s v="Bus Srvcs"/>
    <s v="122BS7"/>
    <s v="Accounts Payable"/>
    <x v="25"/>
    <s v="Non-Inst Students"/>
    <s v="672000"/>
    <s v="DTL001"/>
    <m/>
    <n v="10000"/>
    <n v="0"/>
    <n v="14000"/>
    <n v="0"/>
    <n v="14000"/>
    <n v="0"/>
    <n v="10000"/>
    <n v="10000"/>
    <m/>
  </r>
  <r>
    <s v="GU001"/>
    <x v="2"/>
    <s v="Bus Srvcs"/>
    <s v="122BS7"/>
    <s v="Accounts Payable"/>
    <x v="52"/>
    <s v="Class Non-Instr Overtime"/>
    <s v="672000"/>
    <m/>
    <m/>
    <n v="0"/>
    <n v="1010.08"/>
    <n v="0"/>
    <n v="429.29"/>
    <n v="0"/>
    <n v="271.49"/>
    <n v="0"/>
    <n v="0"/>
    <m/>
  </r>
  <r>
    <s v="GU001"/>
    <x v="2"/>
    <s v="Bus Srvcs"/>
    <s v="122BS7"/>
    <s v="Accounts Payable"/>
    <x v="26"/>
    <s v="Cls Oth - Temp"/>
    <s v="672000"/>
    <m/>
    <m/>
    <m/>
    <m/>
    <n v="0"/>
    <n v="8652.84"/>
    <m/>
    <m/>
    <m/>
    <m/>
    <m/>
  </r>
  <r>
    <s v="GU001"/>
    <x v="2"/>
    <s v="Bus Srvcs"/>
    <s v="122BS7"/>
    <s v="Accounts Payable"/>
    <x v="3"/>
    <s v="Employee Travel"/>
    <s v="672000"/>
    <m/>
    <m/>
    <n v="1500"/>
    <n v="15"/>
    <n v="1500"/>
    <n v="0"/>
    <m/>
    <m/>
    <m/>
    <m/>
    <m/>
  </r>
  <r>
    <s v="GU001"/>
    <x v="2"/>
    <s v="Bus Srvcs"/>
    <s v="122BS7"/>
    <s v="Accounts Payable"/>
    <x v="6"/>
    <s v="Institutional Dues/Memberships"/>
    <s v="672000"/>
    <m/>
    <m/>
    <n v="500"/>
    <n v="678"/>
    <n v="550"/>
    <n v="403"/>
    <m/>
    <m/>
    <m/>
    <m/>
    <m/>
  </r>
  <r>
    <s v="GU001"/>
    <x v="2"/>
    <s v="Bus Srvcs"/>
    <s v="122BS7"/>
    <s v="Accounts Payable"/>
    <x v="54"/>
    <s v="Legal Advertising"/>
    <s v="672000"/>
    <m/>
    <m/>
    <n v="2500"/>
    <n v="0"/>
    <m/>
    <m/>
    <m/>
    <m/>
    <m/>
    <m/>
    <m/>
  </r>
  <r>
    <s v="GU001"/>
    <x v="2"/>
    <s v="Bus Srvcs"/>
    <s v="122BS7"/>
    <s v="Accounts Payable"/>
    <x v="40"/>
    <s v="Other Services &amp; Expenses"/>
    <s v="672000"/>
    <m/>
    <m/>
    <n v="0"/>
    <n v="949"/>
    <m/>
    <m/>
    <m/>
    <m/>
    <m/>
    <m/>
    <m/>
  </r>
  <r>
    <s v="GU001"/>
    <x v="2"/>
    <s v="Bus Srvcs"/>
    <s v="R20BS1"/>
    <s v="Regulatory Business Services"/>
    <x v="2"/>
    <s v="Oth Non-Inst Consulting Services"/>
    <s v="672000"/>
    <m/>
    <m/>
    <n v="20000"/>
    <n v="0"/>
    <n v="15000"/>
    <n v="0"/>
    <n v="15000"/>
    <n v="0"/>
    <n v="15000"/>
    <n v="15000"/>
    <s v="OPEB Act. Study (GASB 75)"/>
  </r>
  <r>
    <s v="GU001"/>
    <x v="2"/>
    <s v="Bus Srvcs"/>
    <s v="R20BS1"/>
    <s v="Regulatory Business Services"/>
    <x v="55"/>
    <s v="Comprehensive/Liab/Prpty/Auto Ins)"/>
    <s v="672000"/>
    <m/>
    <m/>
    <n v="1032459"/>
    <n v="1021553.87"/>
    <n v="1325000"/>
    <n v="1317319.1000000001"/>
    <n v="1325000"/>
    <n v="865238"/>
    <n v="900000"/>
    <n v="900000"/>
    <s v="SWACC &amp; Hazard Insurance"/>
  </r>
  <r>
    <s v="GU001"/>
    <x v="2"/>
    <s v="Bus Srvcs"/>
    <s v="R20BS1"/>
    <s v="Regulatory Business Services"/>
    <x v="56"/>
    <s v="Student Insurance"/>
    <s v="672000"/>
    <m/>
    <m/>
    <n v="186078"/>
    <n v="186078"/>
    <n v="190000"/>
    <n v="172766"/>
    <n v="190000"/>
    <n v="163679"/>
    <n v="190000"/>
    <n v="190000"/>
    <s v="Not reducing due to COVID"/>
  </r>
  <r>
    <s v="GU001"/>
    <x v="2"/>
    <s v="Bus Srvcs"/>
    <s v="R20BS1"/>
    <s v="Regulatory Business Services"/>
    <x v="49"/>
    <s v="Insurance Deductibles"/>
    <s v="672000"/>
    <m/>
    <m/>
    <n v="5000"/>
    <n v="0"/>
    <m/>
    <m/>
    <m/>
    <m/>
    <m/>
    <m/>
    <m/>
  </r>
  <r>
    <s v="GU001"/>
    <x v="2"/>
    <s v="Bus Srvcs"/>
    <s v="R20BS1"/>
    <s v="Regulatory Business Services"/>
    <x v="57"/>
    <s v="Annual Fiscal Audit"/>
    <s v="672000"/>
    <m/>
    <m/>
    <n v="80000"/>
    <n v="111650.27"/>
    <n v="92000"/>
    <n v="84600"/>
    <n v="95000"/>
    <n v="14600"/>
    <n v="128550"/>
    <n v="128550"/>
    <s v="Increase in FS, OPEB, Public Facilities Corp, and Measure J &amp; G "/>
  </r>
  <r>
    <s v="GU001"/>
    <x v="2"/>
    <s v="Bus Srvcs"/>
    <s v="R20BS1"/>
    <s v="Regulatory Business Services"/>
    <x v="58"/>
    <s v="Debt Reduction"/>
    <s v="720000"/>
    <m/>
    <m/>
    <n v="0"/>
    <n v="1055000"/>
    <n v="1115000"/>
    <n v="1115000"/>
    <n v="1185000"/>
    <n v="0"/>
    <n v="1255000"/>
    <n v="1255000"/>
    <s v="2008 OPEB - Per the Debt Schedule"/>
  </r>
  <r>
    <s v="GU001"/>
    <x v="2"/>
    <s v="Bus Srvcs"/>
    <s v="R20BS1"/>
    <s v="Regulatory Business Services"/>
    <x v="58"/>
    <s v="Debt Reduction"/>
    <s v="672000"/>
    <m/>
    <m/>
    <n v="1055000"/>
    <n v="0"/>
    <m/>
    <m/>
    <m/>
    <m/>
    <m/>
    <m/>
    <m/>
  </r>
  <r>
    <s v="GU001"/>
    <x v="2"/>
    <s v="Bus Srvcs"/>
    <s v="R20BS1"/>
    <s v="Regulatory Business Services"/>
    <x v="59"/>
    <s v="Debt Interest &amp; Other Charges"/>
    <s v="720000"/>
    <m/>
    <m/>
    <n v="0"/>
    <n v="4676381"/>
    <n v="4612975.5"/>
    <n v="4612975.5"/>
    <n v="4545964"/>
    <n v="2272982"/>
    <n v="4474745.5"/>
    <n v="4474745.5"/>
    <s v="2008 OPEB - Per the Debt Schedule"/>
  </r>
  <r>
    <s v="GU001"/>
    <x v="2"/>
    <s v="Bus Srvcs"/>
    <s v="R20BS1"/>
    <s v="Regulatory Business Services"/>
    <x v="59"/>
    <s v="Debt Interest &amp; Other Charges"/>
    <s v="672000"/>
    <m/>
    <m/>
    <n v="4676381"/>
    <n v="0"/>
    <m/>
    <m/>
    <m/>
    <m/>
    <m/>
    <m/>
    <m/>
  </r>
  <r>
    <s v="GU001"/>
    <x v="2"/>
    <s v="Bus Srvcs"/>
    <s v="R20BS1"/>
    <s v="Regulatory Business Services"/>
    <x v="60"/>
    <s v="Interfund Transfers - Out"/>
    <s v="731001"/>
    <m/>
    <m/>
    <n v="0"/>
    <n v="255000"/>
    <n v="255000"/>
    <n v="255000"/>
    <n v="255000"/>
    <n v="0"/>
    <n v="255000"/>
    <n v="255000"/>
    <m/>
  </r>
  <r>
    <s v="GU001"/>
    <x v="2"/>
    <s v="Bus Srvcs"/>
    <s v="R20BS1"/>
    <s v="Regulatory Business Services"/>
    <x v="60"/>
    <s v="Interfund Transfers - Out"/>
    <s v="672000"/>
    <m/>
    <m/>
    <n v="255000"/>
    <n v="0"/>
    <m/>
    <m/>
    <m/>
    <m/>
    <m/>
    <m/>
    <m/>
  </r>
  <r>
    <s v="GU001"/>
    <x v="3"/>
    <s v="IT"/>
    <s v="130IB9"/>
    <s v="IT-Banner Banner 9 Dist Wide"/>
    <x v="3"/>
    <s v="Employee Travel"/>
    <s v="679000"/>
    <m/>
    <m/>
    <n v="0"/>
    <n v="-143"/>
    <m/>
    <m/>
    <m/>
    <m/>
    <m/>
    <m/>
    <m/>
  </r>
  <r>
    <s v="GU001"/>
    <x v="3"/>
    <s v="IT"/>
    <s v="130IT0"/>
    <s v="IT-Vice Chancellor, CIO"/>
    <x v="52"/>
    <s v="Class Non-Instr Overtime"/>
    <s v="678000"/>
    <s v="DTL001"/>
    <m/>
    <m/>
    <m/>
    <m/>
    <m/>
    <n v="10000"/>
    <n v="0"/>
    <m/>
    <m/>
    <m/>
  </r>
  <r>
    <s v="GU001"/>
    <x v="3"/>
    <s v="IT"/>
    <s v="130IT0"/>
    <s v="IT-Vice Chancellor, CIO"/>
    <x v="52"/>
    <s v="Class Non-Instr Overtime"/>
    <s v="678000"/>
    <m/>
    <m/>
    <n v="0"/>
    <n v="586.08000000000004"/>
    <m/>
    <m/>
    <m/>
    <m/>
    <m/>
    <m/>
    <m/>
  </r>
  <r>
    <s v="GU001"/>
    <x v="3"/>
    <s v="IT"/>
    <s v="130IT0"/>
    <s v="IT-Vice Chancellor, CIO"/>
    <x v="26"/>
    <s v="Cls Oth - Temp"/>
    <s v="678000"/>
    <m/>
    <m/>
    <n v="0"/>
    <n v="12950.96"/>
    <n v="13771"/>
    <n v="14026.47"/>
    <m/>
    <m/>
    <m/>
    <m/>
    <m/>
  </r>
  <r>
    <s v="GU001"/>
    <x v="3"/>
    <s v="IT"/>
    <s v="130IT0"/>
    <s v="IT-Vice Chancellor, CIO"/>
    <x v="0"/>
    <s v="Non-Library/Magazines/Bks/Prdcls"/>
    <s v="678000"/>
    <m/>
    <m/>
    <m/>
    <m/>
    <n v="0"/>
    <n v="44.36"/>
    <m/>
    <m/>
    <m/>
    <m/>
    <m/>
  </r>
  <r>
    <s v="GU001"/>
    <x v="3"/>
    <s v="IT"/>
    <s v="130IT0"/>
    <s v="IT-Vice Chancellor, CIO"/>
    <x v="1"/>
    <s v="Non-Inst Supplies &amp; Materials"/>
    <s v="678000"/>
    <m/>
    <m/>
    <n v="0"/>
    <n v="673.28"/>
    <n v="100"/>
    <n v="4522.84"/>
    <n v="5000"/>
    <n v="193.87"/>
    <n v="5000"/>
    <n v="5000"/>
    <m/>
  </r>
  <r>
    <s v="GU001"/>
    <x v="3"/>
    <s v="IT"/>
    <s v="130IT0"/>
    <s v="IT-Vice Chancellor, CIO"/>
    <x v="2"/>
    <s v="Oth Non-Inst Consulting Services"/>
    <s v="678000"/>
    <m/>
    <m/>
    <n v="221989"/>
    <n v="17812.95"/>
    <n v="208218"/>
    <n v="30177.64"/>
    <n v="213089"/>
    <n v="21410"/>
    <n v="212700"/>
    <n v="212700"/>
    <m/>
  </r>
  <r>
    <s v="GU001"/>
    <x v="3"/>
    <s v="IT"/>
    <s v="130IT0"/>
    <s v="IT-Vice Chancellor, CIO"/>
    <x v="3"/>
    <s v="Employee Travel"/>
    <s v="678000"/>
    <m/>
    <m/>
    <n v="35000"/>
    <n v="8495.94"/>
    <n v="35000"/>
    <n v="10361.4"/>
    <n v="35000"/>
    <n v="695"/>
    <n v="35000"/>
    <n v="35000"/>
    <m/>
  </r>
  <r>
    <s v="GU001"/>
    <x v="3"/>
    <s v="IT"/>
    <s v="130IT0"/>
    <s v="IT-Vice Chancellor, CIO"/>
    <x v="5"/>
    <s v="Food/Meetings"/>
    <s v="678000"/>
    <m/>
    <m/>
    <n v="0"/>
    <n v="3918.35"/>
    <n v="1000"/>
    <n v="1135.9100000000001"/>
    <n v="5000"/>
    <n v="0"/>
    <n v="5000"/>
    <n v="5000"/>
    <m/>
  </r>
  <r>
    <s v="GU001"/>
    <x v="3"/>
    <s v="IT"/>
    <s v="130IT0"/>
    <s v="IT-Vice Chancellor, CIO"/>
    <x v="6"/>
    <s v="Institutional Dues/Memberships"/>
    <s v="678000"/>
    <m/>
    <m/>
    <n v="3341"/>
    <n v="3470"/>
    <n v="3341"/>
    <n v="3499"/>
    <n v="3341"/>
    <n v="3730"/>
    <n v="3730"/>
    <n v="3730"/>
    <m/>
  </r>
  <r>
    <s v="GU001"/>
    <x v="3"/>
    <s v="IT"/>
    <s v="130IT0"/>
    <s v="IT-Vice Chancellor, CIO"/>
    <x v="19"/>
    <s v="Postage/Express Overnight Svcs"/>
    <s v="678000"/>
    <m/>
    <m/>
    <m/>
    <m/>
    <m/>
    <m/>
    <n v="0"/>
    <n v="90.6"/>
    <m/>
    <m/>
    <m/>
  </r>
  <r>
    <s v="GU001"/>
    <x v="3"/>
    <s v="IT"/>
    <s v="130IT0"/>
    <s v="IT-Vice Chancellor, CIO"/>
    <x v="41"/>
    <s v="Prior Periods Adjustments"/>
    <s v="678000"/>
    <m/>
    <m/>
    <n v="0"/>
    <n v="-68.739999999999995"/>
    <m/>
    <m/>
    <m/>
    <m/>
    <m/>
    <m/>
    <m/>
  </r>
  <r>
    <s v="GU001"/>
    <x v="3"/>
    <s v="IT"/>
    <s v="131IS0"/>
    <s v="IT-Director, Security"/>
    <x v="52"/>
    <s v="Class Non-Instr Overtime"/>
    <s v="678000"/>
    <m/>
    <m/>
    <n v="0"/>
    <n v="925.02"/>
    <n v="0"/>
    <n v="7303.77"/>
    <n v="0"/>
    <n v="2849.97"/>
    <m/>
    <m/>
    <m/>
  </r>
  <r>
    <s v="GU001"/>
    <x v="3"/>
    <s v="IT"/>
    <s v="131IS0"/>
    <s v="IT-Director, Security"/>
    <x v="0"/>
    <s v="Non-Library/Magazines/Bks/Prdcls"/>
    <s v="678000"/>
    <m/>
    <m/>
    <m/>
    <m/>
    <n v="0"/>
    <n v="119.21"/>
    <m/>
    <m/>
    <m/>
    <m/>
    <m/>
  </r>
  <r>
    <s v="GU001"/>
    <x v="3"/>
    <s v="IT"/>
    <s v="131IS0"/>
    <s v="IT-Director, Security"/>
    <x v="1"/>
    <s v="Non-Inst Supplies &amp; Materials"/>
    <s v="678000"/>
    <m/>
    <m/>
    <n v="0"/>
    <n v="1260.2"/>
    <n v="0"/>
    <n v="36.78"/>
    <m/>
    <m/>
    <m/>
    <m/>
    <m/>
  </r>
  <r>
    <s v="GU001"/>
    <x v="3"/>
    <s v="IT"/>
    <s v="131IS0"/>
    <s v="IT-Director, Security"/>
    <x v="2"/>
    <s v="Oth Non-Inst Consulting Services"/>
    <s v="678000"/>
    <m/>
    <m/>
    <n v="110000"/>
    <n v="59620.38"/>
    <n v="126000"/>
    <n v="43969"/>
    <n v="70900"/>
    <n v="0"/>
    <n v="66540"/>
    <n v="66540"/>
    <m/>
  </r>
  <r>
    <s v="GU001"/>
    <x v="3"/>
    <s v="IT"/>
    <s v="131IS0"/>
    <s v="IT-Director, Security"/>
    <x v="3"/>
    <s v="Employee Travel"/>
    <s v="678000"/>
    <m/>
    <m/>
    <n v="32000"/>
    <n v="17644.32"/>
    <n v="32000"/>
    <n v="12544.49"/>
    <n v="51450"/>
    <n v="395"/>
    <n v="51450"/>
    <n v="51450"/>
    <m/>
  </r>
  <r>
    <s v="GU001"/>
    <x v="3"/>
    <s v="IT"/>
    <s v="131IS0"/>
    <s v="IT-Director, Security"/>
    <x v="5"/>
    <s v="Food/Meetings"/>
    <s v="678000"/>
    <m/>
    <m/>
    <n v="0"/>
    <n v="54.39"/>
    <m/>
    <m/>
    <m/>
    <m/>
    <m/>
    <m/>
    <m/>
  </r>
  <r>
    <s v="GU001"/>
    <x v="3"/>
    <s v="IT"/>
    <s v="131IS0"/>
    <s v="IT-Director, Security"/>
    <x v="7"/>
    <s v="Software Licensing/Maintenance Svcs"/>
    <s v="678000"/>
    <m/>
    <m/>
    <n v="260003"/>
    <n v="159593.04"/>
    <n v="475203"/>
    <n v="297557.73"/>
    <n v="354600"/>
    <n v="301764.75"/>
    <n v="389600"/>
    <n v="389600"/>
    <m/>
  </r>
  <r>
    <s v="GU001"/>
    <x v="3"/>
    <s v="IT"/>
    <s v="131IS0"/>
    <s v="IT-Director, Security"/>
    <x v="61"/>
    <s v="Computer Hardware Maint Agreements"/>
    <s v="678000"/>
    <m/>
    <m/>
    <n v="14000"/>
    <n v="11200"/>
    <n v="14000"/>
    <n v="11200"/>
    <n v="22500"/>
    <n v="62009.42"/>
    <n v="8500"/>
    <n v="8500"/>
    <m/>
  </r>
  <r>
    <s v="GU001"/>
    <x v="3"/>
    <s v="IT"/>
    <s v="131IS0"/>
    <s v="IT-Director, Security"/>
    <x v="15"/>
    <s v="General Advertising Services"/>
    <s v="678000"/>
    <m/>
    <m/>
    <n v="0"/>
    <n v="5140"/>
    <m/>
    <m/>
    <n v="0"/>
    <n v="0"/>
    <m/>
    <m/>
    <m/>
  </r>
  <r>
    <s v="GU001"/>
    <x v="3"/>
    <s v="IT"/>
    <s v="131IS0"/>
    <s v="IT-Director, Security"/>
    <x v="62"/>
    <s v="Comp Ticket Expense"/>
    <s v="678000"/>
    <m/>
    <m/>
    <n v="10000"/>
    <n v="0"/>
    <m/>
    <m/>
    <m/>
    <m/>
    <m/>
    <m/>
    <m/>
  </r>
  <r>
    <s v="GU001"/>
    <x v="3"/>
    <s v="IT"/>
    <s v="131IS0"/>
    <s v="IT-Director, Security"/>
    <x v="40"/>
    <s v="Other Services &amp; Expenses"/>
    <s v="678000"/>
    <m/>
    <m/>
    <n v="33000"/>
    <n v="33456.49"/>
    <n v="33000"/>
    <n v="32760"/>
    <n v="41000"/>
    <n v="360"/>
    <n v="41000"/>
    <n v="41000"/>
    <m/>
  </r>
  <r>
    <s v="GU001"/>
    <x v="3"/>
    <s v="IT"/>
    <s v="131IS0"/>
    <s v="IT-Director, Security"/>
    <x v="8"/>
    <s v="Computer/Technology Equipment"/>
    <s v="678000"/>
    <m/>
    <m/>
    <n v="0"/>
    <n v="1375.93"/>
    <n v="0"/>
    <n v="5881.5"/>
    <m/>
    <m/>
    <m/>
    <m/>
    <m/>
  </r>
  <r>
    <s v="GU001"/>
    <x v="3"/>
    <s v="IT"/>
    <s v="132EA0"/>
    <s v="IT-Director, Enterprise Application"/>
    <x v="52"/>
    <s v="Class Non-Instr Overtime"/>
    <s v="678000"/>
    <s v="DTL001"/>
    <m/>
    <n v="10000"/>
    <n v="0"/>
    <n v="10000"/>
    <n v="0"/>
    <m/>
    <m/>
    <m/>
    <m/>
    <m/>
  </r>
  <r>
    <s v="GU001"/>
    <x v="3"/>
    <s v="IT"/>
    <s v="132EA0"/>
    <s v="IT-Director, Enterprise Application"/>
    <x v="52"/>
    <s v="Class Non-Instr Overtime"/>
    <s v="678000"/>
    <m/>
    <m/>
    <n v="0"/>
    <n v="6782.13"/>
    <n v="0"/>
    <n v="1106.82"/>
    <n v="0"/>
    <n v="0"/>
    <m/>
    <m/>
    <m/>
  </r>
  <r>
    <s v="GU001"/>
    <x v="3"/>
    <s v="IT"/>
    <s v="132EA0"/>
    <s v="IT-Director, Enterprise Application"/>
    <x v="0"/>
    <s v="Non-Library/Magazines/Bks/Prdcls"/>
    <s v="678000"/>
    <m/>
    <m/>
    <n v="750"/>
    <n v="0"/>
    <n v="750"/>
    <n v="0"/>
    <n v="750"/>
    <n v="0"/>
    <n v="750"/>
    <n v="750"/>
    <m/>
  </r>
  <r>
    <s v="GU001"/>
    <x v="3"/>
    <s v="IT"/>
    <s v="132EA0"/>
    <s v="IT-Director, Enterprise Application"/>
    <x v="63"/>
    <s v="All Computer Software"/>
    <s v="678000"/>
    <m/>
    <m/>
    <n v="500"/>
    <n v="0"/>
    <n v="750"/>
    <n v="0"/>
    <n v="750"/>
    <n v="0"/>
    <n v="750"/>
    <n v="750"/>
    <m/>
  </r>
  <r>
    <s v="GU001"/>
    <x v="3"/>
    <s v="IT"/>
    <s v="132EA0"/>
    <s v="IT-Director, Enterprise Application"/>
    <x v="1"/>
    <s v="Non-Inst Supplies &amp; Materials"/>
    <s v="678000"/>
    <m/>
    <m/>
    <n v="3000"/>
    <n v="1130.82"/>
    <n v="3000"/>
    <n v="1266.1500000000001"/>
    <n v="3000"/>
    <n v="0"/>
    <n v="3000"/>
    <n v="3000"/>
    <m/>
  </r>
  <r>
    <s v="GU001"/>
    <x v="3"/>
    <s v="IT"/>
    <s v="132EA0"/>
    <s v="IT-Director, Enterprise Application"/>
    <x v="2"/>
    <s v="Oth Non-Inst Consulting Services"/>
    <s v="678000"/>
    <m/>
    <m/>
    <n v="700239"/>
    <n v="76568.820000000007"/>
    <n v="789000"/>
    <n v="294886.89"/>
    <n v="735256.25"/>
    <n v="162004.5"/>
    <n v="494000"/>
    <n v="494000"/>
    <s v="Are there delays due to COVID?"/>
  </r>
  <r>
    <s v="GU001"/>
    <x v="3"/>
    <s v="IT"/>
    <s v="132EA0"/>
    <s v="IT-Director, Enterprise Application"/>
    <x v="3"/>
    <s v="Employee Travel"/>
    <s v="678000"/>
    <m/>
    <m/>
    <n v="124600"/>
    <n v="54552.92"/>
    <n v="101700"/>
    <n v="24229.4"/>
    <n v="98200"/>
    <n v="0"/>
    <n v="100200"/>
    <n v="100200"/>
    <m/>
  </r>
  <r>
    <s v="GU001"/>
    <x v="3"/>
    <s v="IT"/>
    <s v="132EA0"/>
    <s v="IT-Director, Enterprise Application"/>
    <x v="6"/>
    <s v="Institutional Dues/Memberships"/>
    <s v="678000"/>
    <m/>
    <m/>
    <n v="159"/>
    <n v="0"/>
    <m/>
    <m/>
    <m/>
    <m/>
    <m/>
    <m/>
    <m/>
  </r>
  <r>
    <s v="GU001"/>
    <x v="3"/>
    <s v="IT"/>
    <s v="132EA0"/>
    <s v="IT-Director, Enterprise Application"/>
    <x v="7"/>
    <s v="Software Licensing/Maintenance Svcs"/>
    <s v="678000"/>
    <m/>
    <m/>
    <n v="1365426"/>
    <n v="1457786.92"/>
    <n v="678466"/>
    <n v="561395.03"/>
    <n v="832639"/>
    <n v="566756.35"/>
    <n v="519751"/>
    <n v="519751"/>
    <m/>
  </r>
  <r>
    <s v="GU001"/>
    <x v="3"/>
    <s v="IT"/>
    <s v="132EA0"/>
    <s v="IT-Director, Enterprise Application"/>
    <x v="64"/>
    <s v="IT Cloud Services"/>
    <s v="678000"/>
    <m/>
    <m/>
    <n v="1105716"/>
    <n v="818287.31"/>
    <n v="870000"/>
    <n v="946794.54"/>
    <n v="1042455"/>
    <n v="765996.24"/>
    <n v="1491532"/>
    <n v="1491532"/>
    <m/>
  </r>
  <r>
    <s v="GU001"/>
    <x v="3"/>
    <s v="IT"/>
    <s v="132EA0"/>
    <s v="IT-Director, Enterprise Application"/>
    <x v="8"/>
    <s v="Computer/Technology Equipment"/>
    <s v="678000"/>
    <m/>
    <m/>
    <n v="7500"/>
    <n v="6981.1"/>
    <n v="10000"/>
    <n v="6934.24"/>
    <n v="50000"/>
    <n v="0"/>
    <n v="15000"/>
    <n v="15000"/>
    <m/>
  </r>
  <r>
    <s v="GU001"/>
    <x v="3"/>
    <s v="IT"/>
    <s v="132EA0"/>
    <s v="IT-Director, Enterprise Application"/>
    <x v="46"/>
    <s v="Unrestricted"/>
    <s v="678000"/>
    <m/>
    <m/>
    <m/>
    <m/>
    <n v="0"/>
    <n v="0"/>
    <m/>
    <m/>
    <m/>
    <m/>
    <m/>
  </r>
  <r>
    <s v="GU001"/>
    <x v="3"/>
    <s v="IT"/>
    <s v="133II0"/>
    <s v="IT-Director, IT Infrastructure"/>
    <x v="52"/>
    <s v="Class Non-Instr Overtime"/>
    <s v="678000"/>
    <m/>
    <m/>
    <n v="0"/>
    <n v="637.53"/>
    <n v="0"/>
    <n v="6326.03"/>
    <n v="0"/>
    <n v="5681.02"/>
    <m/>
    <m/>
    <m/>
  </r>
  <r>
    <s v="GU001"/>
    <x v="3"/>
    <s v="IT"/>
    <s v="133II0"/>
    <s v="IT-Director, IT Infrastructure"/>
    <x v="52"/>
    <s v="Class Non-Instr Overtime"/>
    <s v="678000"/>
    <s v="DTL001"/>
    <m/>
    <n v="3000"/>
    <n v="0"/>
    <n v="3000"/>
    <n v="0"/>
    <m/>
    <m/>
    <m/>
    <m/>
    <m/>
  </r>
  <r>
    <s v="GU001"/>
    <x v="3"/>
    <s v="IT"/>
    <s v="133II0"/>
    <s v="IT-Director, IT Infrastructure"/>
    <x v="0"/>
    <s v="Non-Library/Magazines/Bks/Prdcls"/>
    <s v="678000"/>
    <m/>
    <m/>
    <n v="150"/>
    <n v="110.18"/>
    <n v="150"/>
    <n v="122.54"/>
    <n v="150"/>
    <n v="0"/>
    <n v="150"/>
    <n v="150"/>
    <m/>
  </r>
  <r>
    <s v="GU001"/>
    <x v="3"/>
    <s v="IT"/>
    <s v="133II0"/>
    <s v="IT-Director, IT Infrastructure"/>
    <x v="2"/>
    <s v="Oth Non-Inst Consulting Services"/>
    <s v="678000"/>
    <m/>
    <m/>
    <n v="637090"/>
    <n v="422398.33"/>
    <n v="532061"/>
    <n v="317905.84999999998"/>
    <n v="533775.75"/>
    <n v="296739.65999999997"/>
    <n v="363000"/>
    <n v="363000"/>
    <s v="Are there delays due to COVID?"/>
  </r>
  <r>
    <s v="GU001"/>
    <x v="3"/>
    <s v="IT"/>
    <s v="133II0"/>
    <s v="IT-Director, IT Infrastructure"/>
    <x v="3"/>
    <s v="Employee Travel"/>
    <s v="678000"/>
    <m/>
    <m/>
    <n v="33600"/>
    <n v="26117.1"/>
    <n v="33600"/>
    <n v="12899.02"/>
    <n v="33600"/>
    <n v="59.8"/>
    <n v="20600"/>
    <n v="20600"/>
    <m/>
  </r>
  <r>
    <s v="GU001"/>
    <x v="3"/>
    <s v="IT"/>
    <s v="133II0"/>
    <s v="IT-Director, IT Infrastructure"/>
    <x v="6"/>
    <s v="Institutional Dues/Memberships"/>
    <s v="678000"/>
    <m/>
    <m/>
    <n v="29190"/>
    <n v="29190"/>
    <n v="29190"/>
    <n v="32733"/>
    <n v="36277"/>
    <n v="36277"/>
    <n v="40000"/>
    <n v="40000"/>
    <m/>
  </r>
  <r>
    <s v="GU001"/>
    <x v="3"/>
    <s v="IT"/>
    <s v="133II0"/>
    <s v="IT-Director, IT Infrastructure"/>
    <x v="65"/>
    <s v="Rental of Facilities"/>
    <s v="678000"/>
    <m/>
    <m/>
    <n v="9000"/>
    <n v="8852"/>
    <n v="9000"/>
    <n v="9029"/>
    <n v="10010"/>
    <n v="0"/>
    <m/>
    <m/>
    <m/>
  </r>
  <r>
    <s v="GU001"/>
    <x v="3"/>
    <s v="IT"/>
    <s v="133II0"/>
    <s v="IT-Director, IT Infrastructure"/>
    <x v="7"/>
    <s v="Software Licensing/Maintenance Svcs"/>
    <s v="678000"/>
    <m/>
    <m/>
    <n v="137525"/>
    <n v="137153.44"/>
    <n v="139000"/>
    <n v="136320.73000000001"/>
    <n v="191514"/>
    <n v="164186.78"/>
    <n v="205377"/>
    <n v="205377"/>
    <m/>
  </r>
  <r>
    <s v="GU001"/>
    <x v="3"/>
    <s v="IT"/>
    <s v="133II0"/>
    <s v="IT-Director, IT Infrastructure"/>
    <x v="64"/>
    <s v="IT Cloud Services"/>
    <s v="678000"/>
    <m/>
    <m/>
    <n v="30000"/>
    <n v="57598.95"/>
    <n v="30000"/>
    <n v="168413.24"/>
    <n v="235000"/>
    <n v="43208.6"/>
    <n v="220000"/>
    <n v="220000"/>
    <m/>
  </r>
  <r>
    <s v="GU001"/>
    <x v="3"/>
    <s v="IT"/>
    <s v="133II0"/>
    <s v="IT-Director, IT Infrastructure"/>
    <x v="61"/>
    <s v="Computer Hardware Maint Agreements"/>
    <s v="678000"/>
    <m/>
    <m/>
    <n v="4500"/>
    <n v="-7949.77"/>
    <n v="0"/>
    <n v="0"/>
    <m/>
    <m/>
    <m/>
    <m/>
    <m/>
  </r>
  <r>
    <s v="GU001"/>
    <x v="3"/>
    <s v="IT"/>
    <s v="133II0"/>
    <s v="IT-Director, IT Infrastructure"/>
    <x v="29"/>
    <s v="Oth Equipment Maint Agreements"/>
    <s v="678000"/>
    <m/>
    <m/>
    <n v="15516"/>
    <n v="15736.47"/>
    <n v="15000"/>
    <n v="14249.25"/>
    <n v="17678"/>
    <n v="12254"/>
    <n v="17000"/>
    <n v="17000"/>
    <m/>
  </r>
  <r>
    <s v="GU001"/>
    <x v="3"/>
    <s v="IT"/>
    <s v="133II0"/>
    <s v="IT-Director, IT Infrastructure"/>
    <x v="30"/>
    <s v="Other Maintenance Contracts"/>
    <s v="678000"/>
    <m/>
    <m/>
    <n v="11718"/>
    <n v="11717.64"/>
    <n v="11718"/>
    <n v="11717.64"/>
    <n v="11718"/>
    <n v="0"/>
    <n v="9600"/>
    <n v="9600"/>
    <m/>
  </r>
  <r>
    <s v="GU001"/>
    <x v="3"/>
    <s v="IT"/>
    <s v="133II0"/>
    <s v="IT-Director, IT Infrastructure"/>
    <x v="31"/>
    <s v="Attorney Fees - Oth"/>
    <s v="678000"/>
    <m/>
    <m/>
    <n v="500"/>
    <n v="0"/>
    <n v="500"/>
    <n v="0"/>
    <n v="500"/>
    <n v="0"/>
    <n v="500"/>
    <n v="500"/>
    <m/>
  </r>
  <r>
    <s v="GU001"/>
    <x v="3"/>
    <s v="IT"/>
    <s v="133II0"/>
    <s v="IT-Director, IT Infrastructure"/>
    <x v="15"/>
    <s v="General Advertising Services"/>
    <s v="678000"/>
    <m/>
    <m/>
    <n v="5000"/>
    <n v="0"/>
    <n v="5000"/>
    <n v="0"/>
    <n v="5000"/>
    <n v="0"/>
    <n v="5000"/>
    <n v="5000"/>
    <m/>
  </r>
  <r>
    <s v="GU001"/>
    <x v="3"/>
    <s v="IT"/>
    <s v="133II0"/>
    <s v="IT-Director, IT Infrastructure"/>
    <x v="39"/>
    <s v="Taxes - Licenses &amp; Permits"/>
    <s v="678000"/>
    <m/>
    <m/>
    <n v="500"/>
    <n v="0"/>
    <n v="500"/>
    <n v="791"/>
    <n v="500"/>
    <n v="0"/>
    <n v="500"/>
    <n v="500"/>
    <m/>
  </r>
  <r>
    <s v="GU001"/>
    <x v="3"/>
    <s v="IT"/>
    <s v="133II0"/>
    <s v="IT-Director, IT Infrastructure"/>
    <x v="8"/>
    <s v="Computer/Technology Equipment"/>
    <s v="678000"/>
    <m/>
    <m/>
    <n v="0"/>
    <n v="15535.63"/>
    <m/>
    <m/>
    <m/>
    <m/>
    <m/>
    <m/>
    <m/>
  </r>
  <r>
    <s v="GU001"/>
    <x v="3"/>
    <s v="IT"/>
    <s v="133II0"/>
    <s v="IT-Director, IT Infrastructure"/>
    <x v="16"/>
    <s v="Computer/Tech Equipment"/>
    <s v="678000"/>
    <m/>
    <m/>
    <n v="16100"/>
    <n v="0"/>
    <m/>
    <m/>
    <m/>
    <m/>
    <m/>
    <m/>
    <m/>
  </r>
  <r>
    <s v="GU001"/>
    <x v="3"/>
    <s v="IT"/>
    <s v="133IM0"/>
    <s v="IT-Networks and System Admin"/>
    <x v="0"/>
    <s v="Non-Library/Magazines/Bks/Prdcls"/>
    <s v="678000"/>
    <m/>
    <m/>
    <n v="100"/>
    <n v="15.44"/>
    <n v="100"/>
    <n v="73.77"/>
    <n v="150"/>
    <n v="0"/>
    <n v="150"/>
    <n v="150"/>
    <m/>
  </r>
  <r>
    <s v="GU001"/>
    <x v="3"/>
    <s v="IT"/>
    <s v="133IM0"/>
    <s v="IT-Networks and System Admin"/>
    <x v="1"/>
    <s v="Non-Inst Supplies &amp; Materials"/>
    <s v="678000"/>
    <m/>
    <m/>
    <n v="13650"/>
    <n v="13705.32"/>
    <n v="11722"/>
    <n v="15319.74"/>
    <n v="12000"/>
    <n v="1473.81"/>
    <n v="14000"/>
    <n v="14000"/>
    <m/>
  </r>
  <r>
    <s v="GU001"/>
    <x v="3"/>
    <s v="IT"/>
    <s v="133IM0"/>
    <s v="IT-Networks and System Admin"/>
    <x v="2"/>
    <s v="Oth Non-Inst Consulting Services"/>
    <s v="678000"/>
    <m/>
    <m/>
    <n v="20000"/>
    <n v="10000"/>
    <n v="30000"/>
    <n v="0"/>
    <n v="220000"/>
    <n v="0"/>
    <n v="120000"/>
    <n v="120000"/>
    <s v="Are there delays due to COVID?"/>
  </r>
  <r>
    <s v="GU001"/>
    <x v="3"/>
    <s v="IT"/>
    <s v="133IM0"/>
    <s v="IT-Networks and System Admin"/>
    <x v="6"/>
    <s v="Institutional Dues/Memberships"/>
    <s v="678000"/>
    <m/>
    <m/>
    <n v="1400"/>
    <n v="1230.92"/>
    <n v="1400"/>
    <n v="659.85"/>
    <n v="1610"/>
    <n v="308"/>
    <n v="1000"/>
    <n v="1000"/>
    <m/>
  </r>
  <r>
    <s v="GU001"/>
    <x v="3"/>
    <s v="IT"/>
    <s v="133IM0"/>
    <s v="IT-Networks and System Admin"/>
    <x v="66"/>
    <s v="Telephone Services"/>
    <s v="678000"/>
    <m/>
    <m/>
    <n v="14899"/>
    <n v="13317.89"/>
    <n v="15000"/>
    <n v="16989.37"/>
    <n v="17000"/>
    <n v="8480.9699999999993"/>
    <n v="17000"/>
    <n v="17000"/>
    <m/>
  </r>
  <r>
    <s v="GU001"/>
    <x v="3"/>
    <s v="IT"/>
    <s v="133IM0"/>
    <s v="IT-Networks and System Admin"/>
    <x v="21"/>
    <s v="Data Communication Services"/>
    <s v="678000"/>
    <m/>
    <m/>
    <n v="122820"/>
    <n v="107961.29"/>
    <n v="122628"/>
    <n v="106511.98"/>
    <n v="177870"/>
    <n v="45596.4"/>
    <n v="202770"/>
    <n v="202770"/>
    <m/>
  </r>
  <r>
    <s v="GU001"/>
    <x v="3"/>
    <s v="IT"/>
    <s v="133IM0"/>
    <s v="IT-Networks and System Admin"/>
    <x v="7"/>
    <s v="Software Licensing/Maintenance Svcs"/>
    <s v="678000"/>
    <m/>
    <m/>
    <n v="570690"/>
    <n v="474171.66"/>
    <n v="628066"/>
    <n v="409785.67"/>
    <n v="571002"/>
    <n v="377573.3"/>
    <n v="618785"/>
    <n v="618785"/>
    <m/>
  </r>
  <r>
    <s v="GU001"/>
    <x v="3"/>
    <s v="IT"/>
    <s v="133IM0"/>
    <s v="IT-Networks and System Admin"/>
    <x v="7"/>
    <s v="Software Licensing/Maintenance Svcs"/>
    <s v="679000"/>
    <m/>
    <m/>
    <m/>
    <m/>
    <n v="0"/>
    <n v="0"/>
    <m/>
    <m/>
    <m/>
    <m/>
    <m/>
  </r>
  <r>
    <s v="GU001"/>
    <x v="3"/>
    <s v="IT"/>
    <s v="133IM0"/>
    <s v="IT-Networks and System Admin"/>
    <x v="61"/>
    <s v="Computer Hardware Maint Agreements"/>
    <s v="678000"/>
    <m/>
    <m/>
    <n v="237755"/>
    <n v="171546.79"/>
    <n v="235000"/>
    <n v="214486.67"/>
    <n v="308698"/>
    <n v="144992.39000000001"/>
    <n v="292880"/>
    <n v="292880"/>
    <m/>
  </r>
  <r>
    <s v="GU001"/>
    <x v="3"/>
    <s v="IT"/>
    <s v="133IM0"/>
    <s v="IT-Networks and System Admin"/>
    <x v="29"/>
    <s v="Oth Equipment Maint Agreements"/>
    <s v="678000"/>
    <m/>
    <m/>
    <m/>
    <m/>
    <n v="278"/>
    <n v="34.67"/>
    <n v="0"/>
    <n v="1.07"/>
    <m/>
    <m/>
    <m/>
  </r>
  <r>
    <s v="GU001"/>
    <x v="3"/>
    <s v="IT"/>
    <s v="133IM0"/>
    <s v="IT-Networks and System Admin"/>
    <x v="51"/>
    <s v="Other Maintenance/Repairs"/>
    <s v="678000"/>
    <m/>
    <m/>
    <m/>
    <m/>
    <n v="0"/>
    <n v="1156.3599999999999"/>
    <m/>
    <m/>
    <m/>
    <m/>
    <m/>
  </r>
  <r>
    <s v="GU001"/>
    <x v="3"/>
    <s v="IT"/>
    <s v="133IM0"/>
    <s v="IT-Networks and System Admin"/>
    <x v="19"/>
    <s v="Postage/Express Overnight Svcs"/>
    <s v="678000"/>
    <m/>
    <m/>
    <m/>
    <m/>
    <m/>
    <m/>
    <n v="0"/>
    <n v="178.73"/>
    <m/>
    <m/>
    <m/>
  </r>
  <r>
    <s v="GU001"/>
    <x v="3"/>
    <s v="IT"/>
    <s v="133IM0"/>
    <s v="IT-Networks and System Admin"/>
    <x v="67"/>
    <s v="Buildings Construction - C"/>
    <s v="678000"/>
    <m/>
    <m/>
    <n v="168854"/>
    <n v="139900.65"/>
    <n v="64667"/>
    <n v="28953.67"/>
    <m/>
    <m/>
    <m/>
    <m/>
    <m/>
  </r>
  <r>
    <s v="GU001"/>
    <x v="3"/>
    <s v="IT"/>
    <s v="133IM0"/>
    <s v="IT-Networks and System Admin"/>
    <x v="8"/>
    <s v="Computer/Technology Equipment"/>
    <s v="678000"/>
    <m/>
    <m/>
    <n v="75600"/>
    <n v="138658.67000000001"/>
    <n v="61000"/>
    <n v="243926.36"/>
    <n v="51900"/>
    <n v="36719.32"/>
    <n v="109500"/>
    <n v="109500"/>
    <s v="$??? K projects carryover (asking Gary)"/>
  </r>
  <r>
    <s v="GU001"/>
    <x v="3"/>
    <s v="IT"/>
    <s v="133IM0"/>
    <s v="IT-Networks and System Admin"/>
    <x v="16"/>
    <s v="Computer/Tech Equipment"/>
    <s v="678000"/>
    <m/>
    <m/>
    <n v="334160"/>
    <n v="185581.34"/>
    <n v="350000"/>
    <n v="182500.81"/>
    <n v="683500"/>
    <n v="63129.4"/>
    <n v="647000"/>
    <n v="647000"/>
    <m/>
  </r>
  <r>
    <s v="GU001"/>
    <x v="3"/>
    <s v="IT"/>
    <s v="133IM0"/>
    <s v="IT-Networks and System Admin"/>
    <x v="68"/>
    <s v="Gain/Loss on Asset Sale"/>
    <s v="678000"/>
    <m/>
    <m/>
    <n v="0"/>
    <n v="-330"/>
    <m/>
    <m/>
    <m/>
    <m/>
    <m/>
    <m/>
    <m/>
  </r>
  <r>
    <s v="GU001"/>
    <x v="4"/>
    <s v="HR"/>
    <s v="140HR0"/>
    <s v="HR - Vice Chancellor"/>
    <x v="17"/>
    <s v="Acad Emp - Non-Inst Non Cont"/>
    <s v="673000"/>
    <s v="DTL001"/>
    <m/>
    <n v="9000"/>
    <n v="0"/>
    <n v="9000"/>
    <n v="0"/>
    <n v="9000"/>
    <n v="0"/>
    <n v="9000"/>
    <n v="9000"/>
    <m/>
  </r>
  <r>
    <s v="GU001"/>
    <x v="4"/>
    <s v="HR"/>
    <s v="140HR0"/>
    <s v="HR - Vice Chancellor"/>
    <x v="17"/>
    <s v="Acad Emp - Non-Inst Non Cont"/>
    <s v="673000"/>
    <s v="PTL001"/>
    <m/>
    <n v="0"/>
    <n v="12600"/>
    <m/>
    <m/>
    <m/>
    <m/>
    <m/>
    <m/>
    <m/>
  </r>
  <r>
    <s v="GU001"/>
    <x v="4"/>
    <s v="HR"/>
    <s v="140HR0"/>
    <s v="HR - Vice Chancellor"/>
    <x v="17"/>
    <s v="Acad Emp - Non-Inst Non Cont"/>
    <s v="673000"/>
    <m/>
    <m/>
    <m/>
    <m/>
    <n v="0"/>
    <n v="3540"/>
    <m/>
    <m/>
    <m/>
    <m/>
    <m/>
  </r>
  <r>
    <s v="GU001"/>
    <x v="4"/>
    <s v="HR"/>
    <s v="140HR0"/>
    <s v="HR - Vice Chancellor"/>
    <x v="25"/>
    <s v="Non-Inst Students"/>
    <s v="673000"/>
    <s v="DTL001"/>
    <m/>
    <n v="17000"/>
    <n v="0"/>
    <n v="17000"/>
    <n v="0"/>
    <n v="17000"/>
    <n v="0"/>
    <n v="10000"/>
    <n v="8000"/>
    <m/>
  </r>
  <r>
    <s v="GU001"/>
    <x v="4"/>
    <s v="HR"/>
    <s v="140HR0"/>
    <s v="HR - Vice Chancellor"/>
    <x v="52"/>
    <s v="Class Non-Instr Overtime"/>
    <s v="673000"/>
    <m/>
    <m/>
    <m/>
    <m/>
    <n v="0"/>
    <n v="20"/>
    <m/>
    <m/>
    <m/>
    <m/>
    <m/>
  </r>
  <r>
    <s v="GU001"/>
    <x v="4"/>
    <s v="HR"/>
    <s v="140HR0"/>
    <s v="HR - Vice Chancellor"/>
    <x v="52"/>
    <s v="Class Non-Instr Overtime"/>
    <s v="678000"/>
    <s v="DTL001"/>
    <m/>
    <n v="5500"/>
    <n v="0"/>
    <m/>
    <m/>
    <m/>
    <m/>
    <m/>
    <m/>
    <m/>
  </r>
  <r>
    <s v="GU001"/>
    <x v="4"/>
    <s v="HR"/>
    <s v="140HR0"/>
    <s v="HR - Vice Chancellor"/>
    <x v="26"/>
    <s v="Cls Oth - Temp"/>
    <s v="673000"/>
    <s v="DTL001"/>
    <m/>
    <n v="24000"/>
    <n v="0"/>
    <n v="24000"/>
    <n v="0"/>
    <n v="24000"/>
    <n v="0"/>
    <n v="24000"/>
    <n v="24000"/>
    <m/>
  </r>
  <r>
    <s v="GU001"/>
    <x v="4"/>
    <s v="HR"/>
    <s v="140HR0"/>
    <s v="HR - Vice Chancellor"/>
    <x v="26"/>
    <s v="Cls Oth - Temp"/>
    <s v="673000"/>
    <m/>
    <m/>
    <m/>
    <m/>
    <n v="0"/>
    <n v="9402.11"/>
    <n v="0"/>
    <n v="1570.03"/>
    <m/>
    <m/>
    <m/>
  </r>
  <r>
    <s v="GU001"/>
    <x v="4"/>
    <s v="HR"/>
    <s v="140HR0"/>
    <s v="HR - Vice Chancellor"/>
    <x v="1"/>
    <s v="Non-Inst Supplies &amp; Materials"/>
    <s v="677050"/>
    <m/>
    <m/>
    <m/>
    <m/>
    <n v="0"/>
    <n v="1672.02"/>
    <m/>
    <m/>
    <m/>
    <m/>
    <m/>
  </r>
  <r>
    <s v="GU001"/>
    <x v="4"/>
    <s v="HR"/>
    <s v="140HR0"/>
    <s v="HR - Vice Chancellor"/>
    <x v="1"/>
    <s v="Non-Inst Supplies &amp; Materials"/>
    <s v="673000"/>
    <m/>
    <m/>
    <n v="32410"/>
    <n v="11927.62"/>
    <n v="32410"/>
    <n v="17607.48"/>
    <n v="32410"/>
    <n v="3083.58"/>
    <n v="20000"/>
    <n v="15000"/>
    <m/>
  </r>
  <r>
    <s v="GU001"/>
    <x v="4"/>
    <s v="HR"/>
    <s v="140HR0"/>
    <s v="HR - Vice Chancellor"/>
    <x v="2"/>
    <s v="Oth Non-Inst Consulting Services"/>
    <s v="673000"/>
    <m/>
    <m/>
    <n v="172000"/>
    <n v="162484.53"/>
    <n v="172000"/>
    <n v="245008.61"/>
    <n v="242000"/>
    <n v="107071.18"/>
    <n v="256629.9"/>
    <n v="260776.5"/>
    <s v="to be offset by SWAAC savings in Business Services"/>
  </r>
  <r>
    <s v="GU001"/>
    <x v="4"/>
    <s v="HR"/>
    <s v="140HR0"/>
    <s v="HR - Vice Chancellor"/>
    <x v="12"/>
    <s v="Non-Employee Travel"/>
    <s v="673000"/>
    <m/>
    <m/>
    <n v="3000"/>
    <n v="7342.23"/>
    <n v="3000"/>
    <n v="177.35"/>
    <n v="3000"/>
    <n v="0"/>
    <n v="3000"/>
    <n v="3000"/>
    <m/>
  </r>
  <r>
    <s v="GU001"/>
    <x v="4"/>
    <s v="HR"/>
    <s v="140HR0"/>
    <s v="HR - Vice Chancellor"/>
    <x v="3"/>
    <s v="Employee Travel"/>
    <s v="673000"/>
    <m/>
    <m/>
    <n v="25000"/>
    <n v="33437.410000000003"/>
    <n v="25000"/>
    <n v="21507.15"/>
    <n v="25000"/>
    <n v="-3870"/>
    <n v="15000"/>
    <n v="10000"/>
    <m/>
  </r>
  <r>
    <s v="GU001"/>
    <x v="4"/>
    <s v="HR"/>
    <s v="140HR0"/>
    <s v="HR - Vice Chancellor"/>
    <x v="27"/>
    <s v="Employee Travel DO"/>
    <s v="673000"/>
    <m/>
    <m/>
    <n v="0"/>
    <n v="51.93"/>
    <n v="0"/>
    <n v="84.54"/>
    <m/>
    <m/>
    <m/>
    <m/>
    <m/>
  </r>
  <r>
    <s v="GU001"/>
    <x v="4"/>
    <s v="HR"/>
    <s v="140HR0"/>
    <s v="HR - Vice Chancellor"/>
    <x v="4"/>
    <s v="(Local) Online Training/Webinar"/>
    <s v="673000"/>
    <m/>
    <m/>
    <m/>
    <m/>
    <n v="0"/>
    <n v="2700"/>
    <m/>
    <m/>
    <m/>
    <m/>
    <m/>
  </r>
  <r>
    <s v="GU001"/>
    <x v="4"/>
    <s v="HR"/>
    <s v="140HR0"/>
    <s v="HR - Vice Chancellor"/>
    <x v="5"/>
    <s v="Food/Meetings"/>
    <s v="673000"/>
    <m/>
    <m/>
    <n v="2500"/>
    <n v="949.09"/>
    <n v="2500"/>
    <n v="1429.13"/>
    <n v="2500"/>
    <n v="0"/>
    <n v="1500"/>
    <n v="1500"/>
    <m/>
  </r>
  <r>
    <s v="GU001"/>
    <x v="4"/>
    <s v="HR"/>
    <s v="140HR0"/>
    <s v="HR - Vice Chancellor"/>
    <x v="6"/>
    <s v="Institutional Dues/Memberships"/>
    <s v="673000"/>
    <m/>
    <m/>
    <n v="5000"/>
    <n v="4130"/>
    <n v="5000"/>
    <n v="5900"/>
    <n v="7733"/>
    <n v="0"/>
    <n v="7200"/>
    <n v="7200"/>
    <m/>
  </r>
  <r>
    <s v="GU001"/>
    <x v="4"/>
    <s v="HR"/>
    <s v="140HR0"/>
    <s v="HR - Vice Chancellor"/>
    <x v="69"/>
    <s v="Consortium Dues/Memberships"/>
    <s v="673000"/>
    <m/>
    <m/>
    <m/>
    <m/>
    <m/>
    <m/>
    <n v="0"/>
    <n v="4150"/>
    <m/>
    <m/>
    <m/>
  </r>
  <r>
    <s v="GU001"/>
    <x v="4"/>
    <s v="HR"/>
    <s v="140HR0"/>
    <s v="HR - Vice Chancellor"/>
    <x v="70"/>
    <s v="Disposal Services"/>
    <s v="673000"/>
    <m/>
    <m/>
    <n v="0"/>
    <n v="40"/>
    <m/>
    <m/>
    <n v="500"/>
    <n v="0"/>
    <n v="500"/>
    <n v="500"/>
    <m/>
  </r>
  <r>
    <s v="GU001"/>
    <x v="4"/>
    <s v="HR"/>
    <s v="140HR0"/>
    <s v="HR - Vice Chancellor"/>
    <x v="71"/>
    <s v="Internet Access"/>
    <s v="673000"/>
    <m/>
    <m/>
    <m/>
    <m/>
    <m/>
    <m/>
    <n v="0"/>
    <n v="198.45"/>
    <n v="500"/>
    <n v="500"/>
    <m/>
  </r>
  <r>
    <s v="GU001"/>
    <x v="4"/>
    <s v="HR"/>
    <s v="140HR0"/>
    <s v="HR - Vice Chancellor"/>
    <x v="51"/>
    <s v="Other Maintenance/Repairs"/>
    <s v="673000"/>
    <m/>
    <m/>
    <m/>
    <m/>
    <n v="0"/>
    <n v="2348"/>
    <m/>
    <m/>
    <m/>
    <m/>
    <m/>
  </r>
  <r>
    <s v="GU001"/>
    <x v="4"/>
    <s v="HR"/>
    <s v="140HR0"/>
    <s v="HR - Vice Chancellor"/>
    <x v="32"/>
    <s v="Settlement Expense"/>
    <s v="673000"/>
    <m/>
    <m/>
    <m/>
    <m/>
    <m/>
    <m/>
    <n v="0"/>
    <n v="125000"/>
    <m/>
    <m/>
    <m/>
  </r>
  <r>
    <s v="GU001"/>
    <x v="4"/>
    <s v="HR"/>
    <s v="140HR0"/>
    <s v="HR - Vice Chancellor"/>
    <x v="72"/>
    <s v="Fingerprinting Services"/>
    <s v="673000"/>
    <m/>
    <m/>
    <n v="60000"/>
    <n v="54689.03"/>
    <n v="60000"/>
    <n v="57510.6"/>
    <n v="60000"/>
    <n v="11792.8"/>
    <n v="55000"/>
    <n v="53000"/>
    <m/>
  </r>
  <r>
    <s v="GU001"/>
    <x v="4"/>
    <s v="HR"/>
    <s v="140HR0"/>
    <s v="HR - Vice Chancellor"/>
    <x v="73"/>
    <s v="Physical Examinations/Tests"/>
    <s v="673000"/>
    <m/>
    <m/>
    <n v="20000"/>
    <n v="26694.799999999999"/>
    <n v="20000"/>
    <n v="20724"/>
    <n v="20000"/>
    <n v="4895"/>
    <n v="20000"/>
    <n v="20000"/>
    <m/>
  </r>
  <r>
    <s v="GU001"/>
    <x v="4"/>
    <s v="HR"/>
    <s v="140HR0"/>
    <s v="HR - Vice Chancellor"/>
    <x v="19"/>
    <s v="Postage/Express Overnight Svcs"/>
    <s v="673000"/>
    <m/>
    <m/>
    <m/>
    <m/>
    <n v="0"/>
    <n v="198.05"/>
    <n v="200"/>
    <n v="42.5"/>
    <n v="200"/>
    <n v="200"/>
    <m/>
  </r>
  <r>
    <s v="GU001"/>
    <x v="4"/>
    <s v="HR"/>
    <s v="140HR0"/>
    <s v="HR - Vice Chancellor"/>
    <x v="33"/>
    <s v="Bank Charges"/>
    <s v="672000"/>
    <m/>
    <m/>
    <m/>
    <m/>
    <n v="0"/>
    <n v="590.52"/>
    <m/>
    <m/>
    <m/>
    <m/>
    <m/>
  </r>
  <r>
    <s v="GU001"/>
    <x v="4"/>
    <s v="HR"/>
    <s v="140HR0"/>
    <s v="HR - Vice Chancellor"/>
    <x v="37"/>
    <s v="Interest - Current Debt"/>
    <s v="673000"/>
    <m/>
    <m/>
    <n v="0"/>
    <n v="61.61"/>
    <n v="0"/>
    <n v="1723.02"/>
    <n v="0"/>
    <n v="229.47"/>
    <m/>
    <m/>
    <m/>
  </r>
  <r>
    <s v="GU001"/>
    <x v="4"/>
    <s v="HR"/>
    <s v="140HR0"/>
    <s v="HR - Vice Chancellor"/>
    <x v="15"/>
    <s v="General Advertising Services"/>
    <s v="673000"/>
    <m/>
    <m/>
    <n v="120000"/>
    <n v="26817.51"/>
    <n v="120000"/>
    <n v="18137.11"/>
    <n v="120000"/>
    <n v="52297"/>
    <n v="120000"/>
    <n v="120000"/>
    <m/>
  </r>
  <r>
    <s v="GU001"/>
    <x v="4"/>
    <s v="HR"/>
    <s v="140HR0"/>
    <s v="HR - Vice Chancellor"/>
    <x v="74"/>
    <s v="Printing/Duplicating Service"/>
    <s v="673000"/>
    <m/>
    <m/>
    <n v="5000"/>
    <n v="5583.22"/>
    <n v="5000"/>
    <n v="5542.92"/>
    <n v="5000"/>
    <n v="0"/>
    <n v="5000"/>
    <n v="5000"/>
    <m/>
  </r>
  <r>
    <s v="GU001"/>
    <x v="4"/>
    <s v="HR"/>
    <s v="140HR0"/>
    <s v="HR - Vice Chancellor"/>
    <x v="40"/>
    <s v="Other Services &amp; Expenses"/>
    <s v="673000"/>
    <m/>
    <m/>
    <n v="1740"/>
    <n v="22102.6"/>
    <n v="1740"/>
    <n v="4987.95"/>
    <n v="5000"/>
    <n v="0"/>
    <n v="5000"/>
    <n v="5000"/>
    <m/>
  </r>
  <r>
    <s v="GU001"/>
    <x v="4"/>
    <s v="HR"/>
    <s v="140HR0"/>
    <s v="HR - Vice Chancellor"/>
    <x v="41"/>
    <s v="Prior Periods Adjustments"/>
    <s v="673000"/>
    <m/>
    <m/>
    <m/>
    <m/>
    <n v="0"/>
    <n v="1439.25"/>
    <m/>
    <m/>
    <m/>
    <m/>
    <m/>
  </r>
  <r>
    <s v="GU001"/>
    <x v="4"/>
    <s v="HR"/>
    <s v="140HR0"/>
    <s v="HR - Vice Chancellor"/>
    <x v="67"/>
    <s v="Buildings Construction - C"/>
    <s v="673000"/>
    <m/>
    <m/>
    <m/>
    <m/>
    <n v="0"/>
    <n v="1100"/>
    <m/>
    <m/>
    <m/>
    <m/>
    <m/>
  </r>
  <r>
    <s v="GU001"/>
    <x v="4"/>
    <s v="HR"/>
    <s v="140HR0"/>
    <s v="HR - Vice Chancellor"/>
    <x v="8"/>
    <s v="Computer/Technology Equipment"/>
    <s v="673000"/>
    <m/>
    <m/>
    <n v="0"/>
    <n v="2846.75"/>
    <n v="0"/>
    <n v="3922.51"/>
    <n v="15000"/>
    <n v="0"/>
    <n v="10000"/>
    <n v="8000"/>
    <m/>
  </r>
  <r>
    <s v="GU001"/>
    <x v="4"/>
    <s v="HR"/>
    <s v="140HR0"/>
    <s v="HR - Vice Chancellor"/>
    <x v="16"/>
    <s v="Computer/Tech Equipment"/>
    <s v="673000"/>
    <m/>
    <m/>
    <m/>
    <m/>
    <s v=" "/>
    <n v="0"/>
    <m/>
    <m/>
    <m/>
    <m/>
    <m/>
  </r>
  <r>
    <s v="GU001"/>
    <x v="4"/>
    <s v="HR"/>
    <s v="140HR0"/>
    <s v="HR - Vice Chancellor"/>
    <x v="23"/>
    <s v="Furniture"/>
    <s v="673000"/>
    <m/>
    <m/>
    <m/>
    <m/>
    <n v="0"/>
    <n v="0"/>
    <n v="0"/>
    <n v="0"/>
    <m/>
    <m/>
    <m/>
  </r>
  <r>
    <s v="GU001"/>
    <x v="4"/>
    <s v="HR"/>
    <s v="140HR1"/>
    <s v="HR - Director"/>
    <x v="73"/>
    <s v="Physical Examinations/Tests"/>
    <s v="673000"/>
    <m/>
    <m/>
    <n v="0"/>
    <n v="120"/>
    <m/>
    <m/>
    <m/>
    <m/>
    <m/>
    <m/>
    <m/>
  </r>
  <r>
    <s v="GU001"/>
    <x v="4"/>
    <s v="HR"/>
    <s v="140HR6"/>
    <s v="HR - Risk Mgmt &amp; Safety"/>
    <x v="52"/>
    <s v="Class Non-Instr Overtime"/>
    <s v="677050"/>
    <m/>
    <m/>
    <m/>
    <m/>
    <n v="0"/>
    <n v="0"/>
    <m/>
    <m/>
    <m/>
    <m/>
    <m/>
  </r>
  <r>
    <s v="GU001"/>
    <x v="4"/>
    <s v="HR"/>
    <s v="140HR6"/>
    <s v="HR - Risk Mgmt &amp; Safety"/>
    <x v="52"/>
    <s v="Class Non-Instr Overtime"/>
    <s v="677050"/>
    <s v="CEQ001"/>
    <m/>
    <m/>
    <m/>
    <n v="0"/>
    <n v="0"/>
    <m/>
    <m/>
    <m/>
    <m/>
    <m/>
  </r>
  <r>
    <s v="GU001"/>
    <x v="4"/>
    <s v="HR"/>
    <s v="140HR6"/>
    <s v="HR - Risk Mgmt &amp; Safety"/>
    <x v="52"/>
    <s v="Class Non-Instr Overtime"/>
    <s v="677099"/>
    <s v="CEQ014"/>
    <m/>
    <m/>
    <m/>
    <n v="0"/>
    <n v="0"/>
    <m/>
    <m/>
    <m/>
    <m/>
    <m/>
  </r>
  <r>
    <s v="GU001"/>
    <x v="4"/>
    <s v="HR"/>
    <s v="140HR6"/>
    <s v="HR - Risk Mgmt &amp; Safety"/>
    <x v="52"/>
    <s v="Class Non-Instr Overtime"/>
    <s v="677099"/>
    <s v="CEQ001"/>
    <m/>
    <m/>
    <m/>
    <n v="0"/>
    <n v="0"/>
    <m/>
    <m/>
    <m/>
    <m/>
    <m/>
  </r>
  <r>
    <s v="GU001"/>
    <x v="4"/>
    <s v="HR"/>
    <s v="140HR6"/>
    <s v="HR - Risk Mgmt &amp; Safety"/>
    <x v="1"/>
    <s v="Non-Inst Supplies &amp; Materials"/>
    <s v="677050"/>
    <m/>
    <m/>
    <n v="8200"/>
    <n v="8196.9500000000007"/>
    <n v="8200"/>
    <n v="1681.7"/>
    <n v="8200"/>
    <n v="14.45"/>
    <n v="8200"/>
    <n v="8200"/>
    <m/>
  </r>
  <r>
    <s v="GU001"/>
    <x v="4"/>
    <s v="HR"/>
    <s v="140HR6"/>
    <s v="HR - Risk Mgmt &amp; Safety"/>
    <x v="2"/>
    <s v="Oth Non-Inst Consulting Services"/>
    <s v="677050"/>
    <m/>
    <m/>
    <n v="5000"/>
    <n v="4075"/>
    <n v="20000"/>
    <n v="0"/>
    <n v="20000"/>
    <n v="1700"/>
    <n v="20000"/>
    <n v="20000"/>
    <m/>
  </r>
  <r>
    <s v="GU001"/>
    <x v="4"/>
    <s v="HR"/>
    <s v="140HR6"/>
    <s v="HR - Risk Mgmt &amp; Safety"/>
    <x v="3"/>
    <s v="Employee Travel"/>
    <s v="677050"/>
    <m/>
    <m/>
    <n v="16250"/>
    <n v="4002.68"/>
    <n v="16250"/>
    <n v="2368.27"/>
    <n v="16250"/>
    <n v="209.61"/>
    <n v="13750"/>
    <n v="12150"/>
    <m/>
  </r>
  <r>
    <s v="GU001"/>
    <x v="4"/>
    <s v="HR"/>
    <s v="140HR6"/>
    <s v="HR - Risk Mgmt &amp; Safety"/>
    <x v="5"/>
    <s v="Food/Meetings"/>
    <s v="677050"/>
    <m/>
    <m/>
    <n v="1000"/>
    <n v="0"/>
    <n v="1000"/>
    <n v="285.56"/>
    <n v="1000"/>
    <n v="0"/>
    <n v="1000"/>
    <n v="1000"/>
    <m/>
  </r>
  <r>
    <s v="GU001"/>
    <x v="4"/>
    <s v="HR"/>
    <s v="140HR6"/>
    <s v="HR - Risk Mgmt &amp; Safety"/>
    <x v="6"/>
    <s v="Institutional Dues/Memberships"/>
    <s v="677050"/>
    <m/>
    <m/>
    <n v="5260"/>
    <n v="1921.42"/>
    <n v="5260"/>
    <n v="1573"/>
    <n v="5260"/>
    <n v="195"/>
    <n v="5260"/>
    <n v="5260"/>
    <m/>
  </r>
  <r>
    <s v="GU001"/>
    <x v="4"/>
    <s v="HR"/>
    <s v="140HR6"/>
    <s v="HR - Risk Mgmt &amp; Safety"/>
    <x v="56"/>
    <s v="Student Insurance"/>
    <s v="677050"/>
    <m/>
    <m/>
    <m/>
    <m/>
    <m/>
    <m/>
    <n v="0"/>
    <n v="0"/>
    <m/>
    <m/>
    <m/>
  </r>
  <r>
    <s v="GU001"/>
    <x v="4"/>
    <s v="HR"/>
    <s v="140HR6"/>
    <s v="HR - Risk Mgmt &amp; Safety"/>
    <x v="75"/>
    <s v="Hazardous Waste Disposal"/>
    <s v="677050"/>
    <m/>
    <m/>
    <n v="4250"/>
    <n v="0"/>
    <n v="4250"/>
    <n v="0"/>
    <n v="4250"/>
    <n v="0"/>
    <n v="4250"/>
    <n v="4250"/>
    <m/>
  </r>
  <r>
    <s v="GU001"/>
    <x v="4"/>
    <s v="HR"/>
    <s v="140HR6"/>
    <s v="HR - Risk Mgmt &amp; Safety"/>
    <x v="7"/>
    <s v="Software Licensing/Maintenance Svcs"/>
    <s v="677050"/>
    <m/>
    <m/>
    <n v="5000"/>
    <n v="5000"/>
    <n v="5500"/>
    <n v="5557.44"/>
    <n v="5500"/>
    <n v="55563.01"/>
    <n v="5500"/>
    <n v="5500"/>
    <m/>
  </r>
  <r>
    <s v="GU001"/>
    <x v="4"/>
    <s v="HR"/>
    <s v="140HR6"/>
    <s v="HR - Risk Mgmt &amp; Safety"/>
    <x v="64"/>
    <s v="IT Cloud Services"/>
    <s v="677050"/>
    <m/>
    <m/>
    <m/>
    <m/>
    <m/>
    <m/>
    <n v="0"/>
    <n v="0"/>
    <m/>
    <m/>
    <m/>
  </r>
  <r>
    <s v="GU001"/>
    <x v="4"/>
    <s v="HR"/>
    <s v="140HR6"/>
    <s v="HR - Risk Mgmt &amp; Safety"/>
    <x v="14"/>
    <s v="Other Professional Fees"/>
    <s v="677050"/>
    <m/>
    <m/>
    <m/>
    <m/>
    <m/>
    <m/>
    <n v="0"/>
    <n v="1750"/>
    <m/>
    <m/>
    <m/>
  </r>
  <r>
    <s v="GU001"/>
    <x v="4"/>
    <s v="HR"/>
    <s v="140HR6"/>
    <s v="HR - Risk Mgmt &amp; Safety"/>
    <x v="19"/>
    <s v="Postage/Express Overnight Svcs"/>
    <s v="677050"/>
    <m/>
    <m/>
    <m/>
    <m/>
    <n v="0"/>
    <n v="15.5"/>
    <m/>
    <m/>
    <m/>
    <m/>
    <m/>
  </r>
  <r>
    <s v="GU001"/>
    <x v="4"/>
    <s v="HR"/>
    <s v="140HR6"/>
    <s v="HR - Risk Mgmt &amp; Safety"/>
    <x v="40"/>
    <s v="Other Services &amp; Expenses"/>
    <s v="677050"/>
    <m/>
    <m/>
    <n v="21000"/>
    <n v="14463.32"/>
    <n v="21000"/>
    <n v="12271.6"/>
    <n v="21000"/>
    <n v="0"/>
    <n v="48376"/>
    <n v="48376"/>
    <s v="Joe Grubbs requested annual increase of $48,376 for 2021-22 and ongoing"/>
  </r>
  <r>
    <s v="GU001"/>
    <x v="4"/>
    <s v="HR"/>
    <s v="140HR6"/>
    <s v="HR - Risk Mgmt &amp; Safety"/>
    <x v="16"/>
    <s v="Computer/Tech Equipment"/>
    <s v="677050"/>
    <m/>
    <m/>
    <n v="2000"/>
    <n v="0"/>
    <n v="2000"/>
    <n v="0"/>
    <n v="2000"/>
    <n v="0"/>
    <n v="2000"/>
    <n v="2000"/>
    <m/>
  </r>
  <r>
    <s v="GU001"/>
    <x v="4"/>
    <s v="HR"/>
    <s v="140HR6"/>
    <s v="HR - Risk Mgmt &amp; Safety"/>
    <x v="23"/>
    <s v="Furniture"/>
    <s v="677050"/>
    <m/>
    <m/>
    <n v="0"/>
    <n v="282.39999999999998"/>
    <m/>
    <m/>
    <m/>
    <m/>
    <m/>
    <m/>
    <m/>
  </r>
  <r>
    <s v="GU001"/>
    <x v="4"/>
    <s v="HR"/>
    <s v="140HR8"/>
    <s v="Payroll"/>
    <x v="52"/>
    <s v="Class Non-Instr Overtime"/>
    <s v="673000"/>
    <m/>
    <m/>
    <m/>
    <m/>
    <m/>
    <m/>
    <n v="0"/>
    <n v="304.55"/>
    <n v="1000"/>
    <n v="1000"/>
    <m/>
  </r>
  <r>
    <s v="GU001"/>
    <x v="4"/>
    <s v="HR"/>
    <s v="145HR3"/>
    <s v="Human Resources - BC"/>
    <x v="52"/>
    <s v="Class Non-Instr Overtime"/>
    <s v="673000"/>
    <m/>
    <m/>
    <n v="0"/>
    <n v="488.18"/>
    <n v="0"/>
    <n v="3.72"/>
    <n v="0"/>
    <n v="2692.22"/>
    <n v="8000"/>
    <n v="8000"/>
    <m/>
  </r>
  <r>
    <s v="GU001"/>
    <x v="4"/>
    <s v="HR"/>
    <s v="145HR3"/>
    <s v="Human Resources - BC"/>
    <x v="26"/>
    <s v="Cls Oth - Temp"/>
    <s v="673000"/>
    <m/>
    <m/>
    <n v="0"/>
    <n v="27107.71"/>
    <n v="0"/>
    <n v="25877.119999999999"/>
    <m/>
    <m/>
    <m/>
    <m/>
    <m/>
  </r>
  <r>
    <s v="GU001"/>
    <x v="4"/>
    <s v="HR"/>
    <s v="145HR4"/>
    <s v="Human Resources - PC"/>
    <x v="1"/>
    <s v="Non-Inst Supplies &amp; Materials"/>
    <s v="673000"/>
    <m/>
    <m/>
    <n v="500"/>
    <n v="274.27999999999997"/>
    <n v="500"/>
    <n v="0"/>
    <n v="500"/>
    <n v="0"/>
    <m/>
    <m/>
    <m/>
  </r>
  <r>
    <s v="GU001"/>
    <x v="4"/>
    <s v="HR"/>
    <s v="145HR4"/>
    <s v="Human Resources - PC"/>
    <x v="3"/>
    <s v="Employee Travel"/>
    <s v="673000"/>
    <m/>
    <m/>
    <n v="200"/>
    <n v="0"/>
    <n v="200"/>
    <n v="0"/>
    <n v="200"/>
    <n v="0"/>
    <n v="0"/>
    <n v="0"/>
    <m/>
  </r>
  <r>
    <s v="GU001"/>
    <x v="4"/>
    <s v="HR"/>
    <s v="145HR5"/>
    <s v="Human Resources - CC"/>
    <x v="52"/>
    <s v="Class Non-Instr Overtime"/>
    <s v="673000"/>
    <m/>
    <m/>
    <m/>
    <m/>
    <m/>
    <m/>
    <n v="0"/>
    <n v="380.66"/>
    <m/>
    <m/>
    <m/>
  </r>
  <r>
    <s v="GU001"/>
    <x v="4"/>
    <s v="HR"/>
    <s v="145HR5"/>
    <s v="Human Resources - CC"/>
    <x v="26"/>
    <s v="Cls Oth - Temp"/>
    <s v="673000"/>
    <s v="DTL001"/>
    <m/>
    <n v="0"/>
    <n v="6223.33"/>
    <m/>
    <m/>
    <m/>
    <m/>
    <m/>
    <m/>
    <m/>
  </r>
  <r>
    <s v="GU001"/>
    <x v="4"/>
    <s v="HR"/>
    <s v="145HR5"/>
    <s v="Human Resources - CC"/>
    <x v="1"/>
    <s v="Non-Inst Supplies &amp; Materials"/>
    <s v="673000"/>
    <m/>
    <m/>
    <n v="390"/>
    <n v="452.1"/>
    <n v="500"/>
    <n v="86.06"/>
    <n v="500"/>
    <n v="0"/>
    <n v="0"/>
    <n v="0"/>
    <m/>
  </r>
  <r>
    <s v="GU001"/>
    <x v="4"/>
    <s v="HR"/>
    <s v="145HR5"/>
    <s v="Human Resources - CC"/>
    <x v="3"/>
    <s v="Employee Travel"/>
    <s v="673000"/>
    <m/>
    <m/>
    <n v="200"/>
    <n v="0"/>
    <n v="200"/>
    <n v="0"/>
    <n v="200"/>
    <n v="0"/>
    <n v="0"/>
    <n v="0"/>
    <m/>
  </r>
  <r>
    <s v="GU001"/>
    <x v="5"/>
    <s v="Dist Oper"/>
    <s v="D01CO2"/>
    <s v="District Office"/>
    <x v="52"/>
    <s v="Class Non-Instr Overtime"/>
    <s v="677010"/>
    <m/>
    <m/>
    <n v="0"/>
    <n v="572.79"/>
    <n v="0"/>
    <n v="1425.06"/>
    <n v="0"/>
    <n v="416.31"/>
    <m/>
    <m/>
    <s v="This account was used in error w/o activity code. This should not be used as part of our budget outside of DO custodial staff; two positions only."/>
  </r>
  <r>
    <s v="GU001"/>
    <x v="5"/>
    <s v="Dist Oper"/>
    <s v="D01CO2"/>
    <s v="District Office"/>
    <x v="52"/>
    <s v="Class Non-Instr Overtime"/>
    <s v="677010"/>
    <s v="DTL001"/>
    <m/>
    <n v="2000"/>
    <n v="0"/>
    <m/>
    <m/>
    <m/>
    <m/>
    <m/>
    <m/>
    <m/>
  </r>
  <r>
    <s v="GU001"/>
    <x v="5"/>
    <s v="Dist Oper"/>
    <s v="D01CO2"/>
    <s v="District Office"/>
    <x v="52"/>
    <s v="Class Non-Instr Overtime"/>
    <s v="677040"/>
    <m/>
    <m/>
    <m/>
    <m/>
    <n v="0"/>
    <n v="5626.37"/>
    <m/>
    <m/>
    <m/>
    <m/>
    <m/>
  </r>
  <r>
    <s v="GU001"/>
    <x v="5"/>
    <s v="Dist Oper"/>
    <s v="D01CO2"/>
    <s v="District Office"/>
    <x v="76"/>
    <s v="Class Non-Instr Overtime"/>
    <s v="677040"/>
    <m/>
    <m/>
    <m/>
    <m/>
    <n v="0"/>
    <n v="5626.37"/>
    <m/>
    <m/>
    <n v="54166.666666666664"/>
    <m/>
    <s v="Anticipated Chancellor compensation allowance"/>
  </r>
  <r>
    <s v="GU001"/>
    <x v="5"/>
    <s v="Dist Oper"/>
    <s v="D01CO2"/>
    <s v="District Office"/>
    <x v="0"/>
    <s v="Non-Library/Magazines/Bks/Prdcls"/>
    <s v="660010"/>
    <m/>
    <m/>
    <n v="3200"/>
    <n v="2483.48"/>
    <n v="3200"/>
    <n v="2605.8200000000002"/>
    <n v="3200"/>
    <n v="0"/>
    <n v="3000"/>
    <n v="3000"/>
    <m/>
  </r>
  <r>
    <s v="GU001"/>
    <x v="5"/>
    <s v="Dist Oper"/>
    <s v="D01CO2"/>
    <s v="District Office"/>
    <x v="1"/>
    <s v="Non-Inst Supplies &amp; Materials"/>
    <s v="660010"/>
    <m/>
    <m/>
    <n v="40000"/>
    <n v="21794.98"/>
    <n v="35000"/>
    <n v="15360.39"/>
    <n v="35000"/>
    <n v="280.89999999999998"/>
    <n v="35000"/>
    <n v="30000"/>
    <m/>
  </r>
  <r>
    <s v="GU001"/>
    <x v="5"/>
    <s v="Dist Oper"/>
    <s v="D01CO2"/>
    <s v="District Office"/>
    <x v="1"/>
    <s v="Non-Inst Supplies &amp; Materials"/>
    <s v="651000"/>
    <m/>
    <m/>
    <n v="14000"/>
    <n v="13550.39"/>
    <n v="14000"/>
    <n v="13364.51"/>
    <n v="14000"/>
    <n v="1362.69"/>
    <n v="14000"/>
    <n v="14000"/>
    <m/>
  </r>
  <r>
    <s v="GU001"/>
    <x v="5"/>
    <s v="Dist Oper"/>
    <s v="D01CO2"/>
    <s v="District Office"/>
    <x v="77"/>
    <s v="Fuel - Lubricants"/>
    <s v="651000"/>
    <m/>
    <m/>
    <n v="3000"/>
    <n v="3993.61"/>
    <n v="5500"/>
    <n v="3489.58"/>
    <n v="5500"/>
    <n v="875.62"/>
    <n v="5500"/>
    <n v="5500"/>
    <m/>
  </r>
  <r>
    <s v="GU001"/>
    <x v="5"/>
    <s v="Dist Oper"/>
    <s v="D01CO2"/>
    <s v="District Office"/>
    <x v="2"/>
    <s v="Oth Non-Inst Consulting Services"/>
    <s v="660010"/>
    <m/>
    <m/>
    <n v="35000"/>
    <n v="0"/>
    <n v="30000"/>
    <n v="6444"/>
    <m/>
    <m/>
    <m/>
    <m/>
    <m/>
  </r>
  <r>
    <s v="GU001"/>
    <x v="5"/>
    <s v="Dist Oper"/>
    <s v="D01CO2"/>
    <s v="District Office"/>
    <x v="3"/>
    <s v="Employee Travel"/>
    <s v="651000"/>
    <m/>
    <m/>
    <n v="3500"/>
    <n v="975.4"/>
    <n v="3500"/>
    <n v="951.84"/>
    <n v="3500"/>
    <n v="0"/>
    <n v="3500"/>
    <n v="3500"/>
    <m/>
  </r>
  <r>
    <s v="GU001"/>
    <x v="5"/>
    <s v="Dist Oper"/>
    <s v="D01CO2"/>
    <s v="District Office"/>
    <x v="3"/>
    <s v="Employee Travel"/>
    <s v="660010"/>
    <m/>
    <m/>
    <n v="50000"/>
    <n v="0"/>
    <m/>
    <m/>
    <m/>
    <m/>
    <m/>
    <m/>
    <m/>
  </r>
  <r>
    <s v="GU001"/>
    <x v="5"/>
    <s v="Dist Oper"/>
    <s v="D01CO2"/>
    <s v="District Office"/>
    <x v="4"/>
    <s v="(Local) Online Training/Webinar"/>
    <s v="660010"/>
    <m/>
    <m/>
    <m/>
    <m/>
    <n v="50000"/>
    <n v="37400"/>
    <n v="50000"/>
    <n v="127620"/>
    <n v="50000"/>
    <n v="50000"/>
    <s v="Hotep added mid-year by CEO w/o budget consult"/>
  </r>
  <r>
    <s v="GU001"/>
    <x v="5"/>
    <s v="Dist Oper"/>
    <s v="D01CO2"/>
    <s v="District Office"/>
    <x v="5"/>
    <s v="Food/Meetings"/>
    <s v="660010"/>
    <m/>
    <m/>
    <n v="10000"/>
    <n v="6897.76"/>
    <n v="10000"/>
    <n v="3832.86"/>
    <n v="8000"/>
    <n v="210.35"/>
    <n v="8000"/>
    <n v="8000"/>
    <m/>
  </r>
  <r>
    <s v="GU001"/>
    <x v="5"/>
    <s v="Dist Oper"/>
    <s v="D01CO2"/>
    <s v="District Office"/>
    <x v="78"/>
    <s v="Light - Electricity"/>
    <s v="651000"/>
    <m/>
    <m/>
    <n v="175000"/>
    <n v="155537.88"/>
    <n v="175000"/>
    <n v="144903.46"/>
    <n v="175000"/>
    <n v="61805.63"/>
    <n v="175000"/>
    <n v="175000"/>
    <m/>
  </r>
  <r>
    <s v="GU001"/>
    <x v="5"/>
    <s v="Dist Oper"/>
    <s v="D01CO2"/>
    <s v="District Office"/>
    <x v="79"/>
    <s v="Water - Sanitation"/>
    <s v="651000"/>
    <m/>
    <m/>
    <n v="8000"/>
    <n v="7637.97"/>
    <n v="8500"/>
    <n v="7708.18"/>
    <n v="8500"/>
    <n v="2655.85"/>
    <n v="8500"/>
    <n v="8500"/>
    <m/>
  </r>
  <r>
    <s v="GU001"/>
    <x v="5"/>
    <s v="Dist Oper"/>
    <s v="D01CO2"/>
    <s v="District Office"/>
    <x v="70"/>
    <s v="Disposal Services"/>
    <s v="660010"/>
    <m/>
    <m/>
    <n v="0"/>
    <n v="1787.52"/>
    <n v="3500"/>
    <n v="1338.95"/>
    <n v="4000"/>
    <n v="114"/>
    <n v="4000"/>
    <n v="4000"/>
    <m/>
  </r>
  <r>
    <s v="GU001"/>
    <x v="5"/>
    <s v="Dist Oper"/>
    <s v="D01CO2"/>
    <s v="District Office"/>
    <x v="80"/>
    <s v="Pest Control"/>
    <s v="651000"/>
    <m/>
    <m/>
    <n v="1000"/>
    <n v="840"/>
    <n v="1000"/>
    <n v="840"/>
    <n v="1000"/>
    <n v="350"/>
    <n v="1000"/>
    <n v="1000"/>
    <m/>
  </r>
  <r>
    <s v="GU001"/>
    <x v="5"/>
    <s v="Dist Oper"/>
    <s v="D01CO2"/>
    <s v="District Office"/>
    <x v="81"/>
    <s v="Other Utilities"/>
    <s v="651000"/>
    <m/>
    <m/>
    <n v="8500"/>
    <n v="8691.06"/>
    <n v="9000"/>
    <n v="8944.94"/>
    <n v="9000"/>
    <n v="4254.4399999999996"/>
    <n v="567"/>
    <m/>
    <s v="This amount was added prior to my entries; why?incorrect"/>
  </r>
  <r>
    <s v="GU001"/>
    <x v="5"/>
    <s v="Dist Oper"/>
    <s v="D01CO2"/>
    <s v="District Office"/>
    <x v="82"/>
    <s v="Oper/Lease Cntrcts-ie Cars-Copiers"/>
    <s v="660010"/>
    <m/>
    <m/>
    <n v="0"/>
    <n v="0"/>
    <n v="10000"/>
    <n v="0"/>
    <m/>
    <m/>
    <m/>
    <m/>
    <s v="not sure about this account? Issue w/ activity code"/>
  </r>
  <r>
    <s v="GU001"/>
    <x v="5"/>
    <s v="Dist Oper"/>
    <s v="D01CO2"/>
    <s v="District Office"/>
    <x v="82"/>
    <s v="Oper/Lease Cntrcts-ie Cars-Copiers"/>
    <s v="660010"/>
    <s v="DLMS02"/>
    <m/>
    <n v="1000"/>
    <n v="9910"/>
    <n v="0"/>
    <n v="3111.88"/>
    <n v="10000"/>
    <n v="2546.94"/>
    <n v="10000"/>
    <n v="10000"/>
    <m/>
  </r>
  <r>
    <s v="GU001"/>
    <x v="5"/>
    <s v="Dist Oper"/>
    <s v="D01CO2"/>
    <s v="District Office"/>
    <x v="7"/>
    <s v="Software Licensing/Maintenance Svcs"/>
    <s v="660010"/>
    <m/>
    <m/>
    <n v="8000"/>
    <n v="19.989999999999998"/>
    <n v="8000"/>
    <n v="647.64"/>
    <n v="8000"/>
    <n v="0"/>
    <n v="8000"/>
    <n v="8000"/>
    <m/>
  </r>
  <r>
    <s v="GU001"/>
    <x v="5"/>
    <s v="Dist Oper"/>
    <s v="D01CO2"/>
    <s v="District Office"/>
    <x v="7"/>
    <s v="Software Licensing/Maintenance Svcs"/>
    <s v="659011"/>
    <m/>
    <m/>
    <n v="1000"/>
    <n v="863.52"/>
    <m/>
    <m/>
    <m/>
    <m/>
    <m/>
    <m/>
    <s v="not sure about this account??"/>
  </r>
  <r>
    <s v="GU001"/>
    <x v="5"/>
    <s v="Dist Oper"/>
    <s v="D01CO2"/>
    <s v="District Office"/>
    <x v="13"/>
    <s v="Equip Maint Agreements"/>
    <s v="651000"/>
    <m/>
    <m/>
    <n v="3500"/>
    <n v="3005"/>
    <n v="3500"/>
    <n v="1342"/>
    <n v="3500"/>
    <n v="880"/>
    <n v="3500"/>
    <n v="3500"/>
    <m/>
  </r>
  <r>
    <s v="GU001"/>
    <x v="5"/>
    <s v="Dist Oper"/>
    <s v="D01CO2"/>
    <s v="District Office"/>
    <x v="83"/>
    <s v="Grounds Maintenance"/>
    <s v="651000"/>
    <m/>
    <m/>
    <n v="10000"/>
    <n v="9202"/>
    <n v="10000"/>
    <n v="9180"/>
    <n v="10000"/>
    <n v="4925"/>
    <n v="10000"/>
    <n v="10000"/>
    <m/>
  </r>
  <r>
    <s v="GU001"/>
    <x v="5"/>
    <s v="Dist Oper"/>
    <s v="D01CO2"/>
    <s v="District Office"/>
    <x v="28"/>
    <s v="Building Maintenance"/>
    <s v="651000"/>
    <m/>
    <m/>
    <n v="55000"/>
    <n v="99045.16"/>
    <n v="60000"/>
    <n v="63454.03"/>
    <n v="60000"/>
    <n v="8587.9599999999991"/>
    <n v="60000"/>
    <n v="60000"/>
    <m/>
  </r>
  <r>
    <s v="GU001"/>
    <x v="5"/>
    <s v="Dist Oper"/>
    <s v="D01CO2"/>
    <s v="District Office"/>
    <x v="50"/>
    <s v="Vehicle Repairs &amp; Maintenance"/>
    <s v="651000"/>
    <m/>
    <m/>
    <n v="5000"/>
    <n v="2455.46"/>
    <n v="4000"/>
    <n v="2247.84"/>
    <n v="4000"/>
    <n v="275"/>
    <n v="4000"/>
    <n v="4000"/>
    <m/>
  </r>
  <r>
    <s v="GU001"/>
    <x v="5"/>
    <s v="Dist Oper"/>
    <s v="D01CO2"/>
    <s v="District Office"/>
    <x v="29"/>
    <s v="Oth Equipment Maint Agreements"/>
    <s v="651000"/>
    <m/>
    <m/>
    <n v="27000"/>
    <n v="16868.07"/>
    <n v="27000"/>
    <n v="17519.8"/>
    <n v="27000"/>
    <n v="7603.08"/>
    <n v="25000"/>
    <n v="25000"/>
    <m/>
  </r>
  <r>
    <s v="GU001"/>
    <x v="5"/>
    <s v="Dist Oper"/>
    <s v="D01CO2"/>
    <s v="District Office"/>
    <x v="29"/>
    <s v="Oth Equipment Maint Agreements"/>
    <s v="660010"/>
    <m/>
    <m/>
    <n v="23500"/>
    <n v="3441.46"/>
    <n v="23500"/>
    <n v="2847.24"/>
    <n v="23500"/>
    <n v="111.92"/>
    <n v="23500"/>
    <n v="23500"/>
    <m/>
  </r>
  <r>
    <s v="GU001"/>
    <x v="5"/>
    <s v="Dist Oper"/>
    <s v="D01CO2"/>
    <s v="District Office"/>
    <x v="19"/>
    <s v="Postage/Express Overnight Svcs"/>
    <s v="660010"/>
    <m/>
    <m/>
    <n v="45000"/>
    <n v="20617.72"/>
    <n v="45000"/>
    <n v="36856.54"/>
    <n v="45000"/>
    <n v="3150.35"/>
    <n v="45000"/>
    <n v="45000"/>
    <m/>
  </r>
  <r>
    <s v="GU001"/>
    <x v="5"/>
    <s v="Dist Oper"/>
    <s v="D01CO2"/>
    <s v="District Office"/>
    <x v="74"/>
    <s v="Printing/Duplicating Service"/>
    <s v="660010"/>
    <m/>
    <m/>
    <n v="3000"/>
    <n v="0"/>
    <n v="5000"/>
    <n v="631.88"/>
    <n v="5000"/>
    <n v="0"/>
    <n v="5000"/>
    <n v="5000"/>
    <m/>
  </r>
  <r>
    <s v="GU001"/>
    <x v="5"/>
    <s v="Dist Oper"/>
    <s v="D01CO2"/>
    <s v="District Office"/>
    <x v="39"/>
    <s v="Taxes - Licenses &amp; Permits"/>
    <s v="651000"/>
    <m/>
    <m/>
    <n v="100"/>
    <n v="15"/>
    <n v="100"/>
    <n v="15"/>
    <n v="100"/>
    <n v="15"/>
    <n v="100"/>
    <n v="100"/>
    <m/>
  </r>
  <r>
    <s v="GU001"/>
    <x v="5"/>
    <s v="Dist Oper"/>
    <s v="D01CO2"/>
    <s v="District Office"/>
    <x v="40"/>
    <s v="Other Services &amp; Expenses"/>
    <s v="660010"/>
    <m/>
    <m/>
    <n v="15000"/>
    <n v="470.68"/>
    <n v="15000"/>
    <n v="0"/>
    <n v="7500"/>
    <n v="0"/>
    <n v="7500"/>
    <n v="7500"/>
    <m/>
  </r>
  <r>
    <s v="GU001"/>
    <x v="5"/>
    <s v="Dist Oper"/>
    <s v="D01CO2"/>
    <s v="District Office"/>
    <x v="53"/>
    <s v="Indirect Cost(Reimbursement)"/>
    <s v="651000"/>
    <m/>
    <m/>
    <n v="-275511"/>
    <n v="0"/>
    <n v="-275511"/>
    <n v="0"/>
    <n v="-275511"/>
    <n v="0"/>
    <n v="-295000"/>
    <n v="-295000"/>
    <s v="question about this account; based on prior year actuals; Weill Center chargeback paid in the carryover now adjust in Sept 21 (prior to audit) with intra-fund transfer"/>
  </r>
  <r>
    <s v="GU001"/>
    <x v="5"/>
    <s v="Dist Oper"/>
    <s v="D01CO2"/>
    <s v="District Office"/>
    <x v="84"/>
    <s v="Site Improvement"/>
    <s v="651000"/>
    <m/>
    <m/>
    <n v="30000"/>
    <n v="28142.44"/>
    <n v="30000"/>
    <n v="39759.75"/>
    <n v="30000"/>
    <n v="21480.7"/>
    <n v="30000"/>
    <n v="30000"/>
    <m/>
  </r>
  <r>
    <s v="GU001"/>
    <x v="5"/>
    <s v="Dist Oper"/>
    <s v="D01CO2"/>
    <s v="District Office"/>
    <x v="8"/>
    <s v="Computer/Technology Equipment"/>
    <s v="660010"/>
    <m/>
    <m/>
    <n v="0"/>
    <n v="4059.65"/>
    <n v="4000"/>
    <n v="0"/>
    <n v="4000"/>
    <n v="0"/>
    <n v="4000"/>
    <n v="4000"/>
    <m/>
  </r>
  <r>
    <s v="GU001"/>
    <x v="5"/>
    <s v="Dist Oper"/>
    <s v="D01CO2"/>
    <s v="District Office"/>
    <x v="16"/>
    <s v="Computer/Tech Equipment"/>
    <s v="660010"/>
    <m/>
    <m/>
    <n v="4000"/>
    <n v="0"/>
    <n v="20500"/>
    <n v="0"/>
    <n v="15000"/>
    <n v="0"/>
    <n v="15000"/>
    <n v="15000"/>
    <m/>
  </r>
  <r>
    <s v="GU001"/>
    <x v="5"/>
    <s v="Dist Oper"/>
    <s v="D01CO2"/>
    <s v="District Office"/>
    <x v="85"/>
    <s v="Autos and Busses"/>
    <s v="660010"/>
    <m/>
    <m/>
    <m/>
    <m/>
    <n v="0"/>
    <n v="32582.36"/>
    <n v="0"/>
    <n v="-20000"/>
    <m/>
    <m/>
    <s v="Air Quality Control District grant  reimbursements"/>
  </r>
  <r>
    <s v="GU001"/>
    <x v="5"/>
    <s v="Dist Oper"/>
    <s v="D01CO2"/>
    <s v="District Office"/>
    <x v="23"/>
    <s v="Furniture"/>
    <s v="651000"/>
    <m/>
    <m/>
    <n v="6000"/>
    <n v="14626.53"/>
    <n v="6000"/>
    <n v="4800.29"/>
    <n v="6000"/>
    <n v="2438.15"/>
    <n v="6000"/>
    <n v="6000"/>
    <m/>
  </r>
  <r>
    <s v="GU001"/>
    <x v="5"/>
    <s v="Dist Oper"/>
    <s v="D01CO2"/>
    <s v="District Office"/>
    <x v="43"/>
    <s v="Other Equipment"/>
    <s v="651000"/>
    <m/>
    <m/>
    <n v="25000"/>
    <n v="24603.86"/>
    <n v="40000"/>
    <n v="1126.48"/>
    <n v="20000"/>
    <n v="5959.16"/>
    <n v="20000"/>
    <n v="20000"/>
    <m/>
  </r>
  <r>
    <s v="GU001"/>
    <x v="6"/>
    <s v="Chancellor/BOT"/>
    <s v="R00CO1"/>
    <s v="Regulatory Chancellors Office"/>
    <x v="1"/>
    <s v="Non-Inst Supplies &amp; Materials"/>
    <s v="660010"/>
    <m/>
    <m/>
    <n v="0"/>
    <n v="6.97"/>
    <m/>
    <m/>
    <m/>
    <m/>
    <m/>
    <m/>
    <m/>
  </r>
  <r>
    <s v="GU001"/>
    <x v="6"/>
    <s v="Chancellor/BOT"/>
    <s v="R00CO1"/>
    <s v="Regulatory Chancellors Office"/>
    <x v="2"/>
    <s v="Oth Non-Inst Consulting Services"/>
    <s v="660010"/>
    <m/>
    <m/>
    <n v="30000"/>
    <n v="17846.25"/>
    <n v="50000"/>
    <n v="4740"/>
    <n v="30000"/>
    <n v="9007.5"/>
    <n v="30000"/>
    <n v="30000"/>
    <m/>
  </r>
  <r>
    <s v="GU001"/>
    <x v="6"/>
    <s v="Chancellor/BOT"/>
    <s v="R00CO1"/>
    <s v="Regulatory Chancellors Office"/>
    <x v="3"/>
    <s v="Employee Travel"/>
    <s v="660010"/>
    <m/>
    <m/>
    <n v="25000"/>
    <n v="35815.49"/>
    <n v="25000"/>
    <n v="21835.759999999998"/>
    <n v="25000"/>
    <n v="1468.31"/>
    <n v="25000"/>
    <n v="25000"/>
    <m/>
  </r>
  <r>
    <s v="GU001"/>
    <x v="6"/>
    <s v="Chancellor/BOT"/>
    <s v="R01BT1"/>
    <s v="Regulatory Board of Trustees"/>
    <x v="86"/>
    <s v="Cont Security Services"/>
    <s v="660020"/>
    <m/>
    <m/>
    <n v="4500"/>
    <n v="2455.62"/>
    <n v="4500"/>
    <n v="1507.48"/>
    <n v="3500"/>
    <n v="0"/>
    <n v="3500"/>
    <n v="3500"/>
    <m/>
  </r>
  <r>
    <s v="GU001"/>
    <x v="6"/>
    <s v="Chancellor/BOT"/>
    <s v="R01BT1"/>
    <s v="Regulatory Board of Trustees"/>
    <x v="2"/>
    <s v="Oth Non-Inst Consulting Services"/>
    <s v="660020"/>
    <m/>
    <m/>
    <n v="125000"/>
    <n v="109969.94"/>
    <n v="200000"/>
    <n v="85626.16"/>
    <n v="150000"/>
    <n v="42420"/>
    <n v="100000"/>
    <n v="100000"/>
    <m/>
  </r>
  <r>
    <s v="GU001"/>
    <x v="6"/>
    <s v="Chancellor/BOT"/>
    <s v="R01BT1"/>
    <s v="Regulatory Board of Trustees"/>
    <x v="3"/>
    <s v="Employee Travel"/>
    <s v="660020"/>
    <m/>
    <m/>
    <n v="25000"/>
    <n v="15892.98"/>
    <n v="30000"/>
    <n v="3368.57"/>
    <n v="25000"/>
    <n v="-168.55"/>
    <n v="25000"/>
    <n v="25000"/>
    <m/>
  </r>
  <r>
    <s v="GU001"/>
    <x v="6"/>
    <s v="Chancellor/BOT"/>
    <s v="R01BT1"/>
    <s v="Regulatory Board of Trustees"/>
    <x v="3"/>
    <s v="Employee Travel"/>
    <s v="660020"/>
    <m/>
    <s v="CI"/>
    <n v="0"/>
    <n v="34.26"/>
    <m/>
    <m/>
    <m/>
    <m/>
    <m/>
    <m/>
    <s v="This account needs to be removed; duplicate"/>
  </r>
  <r>
    <s v="GU001"/>
    <x v="6"/>
    <s v="Chancellor/BOT"/>
    <s v="R01BT1"/>
    <s v="Regulatory Board of Trustees"/>
    <x v="3"/>
    <s v="Employee Travel"/>
    <s v="660010"/>
    <m/>
    <m/>
    <m/>
    <m/>
    <n v="0"/>
    <n v="740"/>
    <m/>
    <m/>
    <m/>
    <m/>
    <s v="This account needs to be removed; duplicate"/>
  </r>
  <r>
    <s v="GU001"/>
    <x v="6"/>
    <s v="Chancellor/BOT"/>
    <s v="R01BT1"/>
    <s v="Regulatory Board of Trustees"/>
    <x v="6"/>
    <s v="Institutional Dues/Memberships"/>
    <s v="660020"/>
    <m/>
    <m/>
    <n v="160000"/>
    <n v="145417"/>
    <n v="160000"/>
    <n v="150598.5"/>
    <n v="160000"/>
    <n v="140178"/>
    <n v="160000"/>
    <n v="160000"/>
    <m/>
  </r>
  <r>
    <s v="GU001"/>
    <x v="6"/>
    <s v="Chancellor/BOT"/>
    <s v="R01BT1"/>
    <s v="Regulatory Board of Trustees"/>
    <x v="7"/>
    <s v="Software Licensing/Maintenance Svcs"/>
    <s v="660020"/>
    <m/>
    <m/>
    <n v="30000"/>
    <n v="0"/>
    <n v="45000"/>
    <n v="17500"/>
    <n v="40000"/>
    <n v="17500"/>
    <n v="35000"/>
    <n v="35000"/>
    <m/>
  </r>
  <r>
    <s v="GU001"/>
    <x v="6"/>
    <s v="Chancellor/BOT"/>
    <s v="R01BT1"/>
    <s v="Regulatory Board of Trustees"/>
    <x v="87"/>
    <s v="Trustee Election"/>
    <s v="660020"/>
    <m/>
    <m/>
    <n v="400000"/>
    <n v="162785.65"/>
    <m/>
    <m/>
    <n v="250000"/>
    <n v="0"/>
    <n v="175000"/>
    <n v="170000"/>
    <s v="FY21 was an Election Year"/>
  </r>
  <r>
    <s v="GU001"/>
    <x v="7"/>
    <s v="Legal"/>
    <s v="150LE0"/>
    <s v="General Counsel"/>
    <x v="0"/>
    <s v="Non-Library/Magazines/Bks/Prdcls"/>
    <s v="660030"/>
    <m/>
    <m/>
    <n v="20000"/>
    <n v="7428.23"/>
    <n v="20000"/>
    <n v="7763.92"/>
    <n v="15000"/>
    <n v="1365.47"/>
    <n v="15000"/>
    <n v="15000"/>
    <m/>
  </r>
  <r>
    <s v="GU001"/>
    <x v="7"/>
    <s v="Legal"/>
    <s v="150LE0"/>
    <s v="General Counsel"/>
    <x v="2"/>
    <s v="Oth Non-Inst Consulting Services"/>
    <s v="660030"/>
    <m/>
    <m/>
    <n v="50000"/>
    <n v="162036.66"/>
    <n v="100000"/>
    <n v="343342.51"/>
    <n v="100000"/>
    <n v="0"/>
    <n v="100000"/>
    <n v="100000"/>
    <m/>
  </r>
  <r>
    <s v="GU001"/>
    <x v="7"/>
    <s v="Legal"/>
    <s v="150LE0"/>
    <s v="General Counsel"/>
    <x v="3"/>
    <s v="Employee Travel"/>
    <s v="677050"/>
    <m/>
    <m/>
    <n v="0"/>
    <n v="148"/>
    <m/>
    <m/>
    <m/>
    <m/>
    <m/>
    <m/>
    <m/>
  </r>
  <r>
    <s v="GU001"/>
    <x v="7"/>
    <s v="Legal"/>
    <s v="150LE0"/>
    <s v="General Counsel"/>
    <x v="3"/>
    <s v="Employee Travel"/>
    <s v="660030"/>
    <m/>
    <m/>
    <n v="30000"/>
    <n v="23011.07"/>
    <n v="30000"/>
    <n v="29390.93"/>
    <n v="30000"/>
    <n v="418.4"/>
    <n v="30000"/>
    <n v="30000"/>
    <m/>
  </r>
  <r>
    <s v="GU001"/>
    <x v="7"/>
    <s v="Legal"/>
    <s v="150LE0"/>
    <s v="General Counsel"/>
    <x v="5"/>
    <s v="Food/Meetings"/>
    <s v="660030"/>
    <m/>
    <m/>
    <n v="1000"/>
    <n v="0"/>
    <n v="1000"/>
    <n v="0"/>
    <n v="500"/>
    <n v="0"/>
    <n v="500"/>
    <n v="500"/>
    <m/>
  </r>
  <r>
    <s v="GU001"/>
    <x v="7"/>
    <s v="Legal"/>
    <s v="150LE0"/>
    <s v="General Counsel"/>
    <x v="6"/>
    <s v="Institutional Dues/Memberships"/>
    <s v="660030"/>
    <m/>
    <m/>
    <n v="9000"/>
    <n v="4464.45"/>
    <n v="9000"/>
    <n v="3025"/>
    <n v="7000"/>
    <n v="2960"/>
    <n v="7000"/>
    <n v="7000"/>
    <m/>
  </r>
  <r>
    <s v="GU001"/>
    <x v="7"/>
    <s v="Legal"/>
    <s v="150LE0"/>
    <s v="General Counsel"/>
    <x v="49"/>
    <s v="Insurance Deductibles"/>
    <s v="660030"/>
    <m/>
    <m/>
    <n v="2000"/>
    <n v="0"/>
    <m/>
    <m/>
    <m/>
    <m/>
    <m/>
    <m/>
    <m/>
  </r>
  <r>
    <s v="GU001"/>
    <x v="7"/>
    <s v="Legal"/>
    <s v="150LE0"/>
    <s v="General Counsel"/>
    <x v="7"/>
    <s v="Software Licensing/Maintenance Svcs"/>
    <s v="660030"/>
    <m/>
    <m/>
    <n v="2000"/>
    <n v="0"/>
    <n v="2000"/>
    <n v="2488.8000000000002"/>
    <n v="3000"/>
    <n v="0"/>
    <n v="3000"/>
    <n v="3000"/>
    <m/>
  </r>
  <r>
    <s v="GU001"/>
    <x v="7"/>
    <s v="Legal"/>
    <s v="150LE0"/>
    <s v="General Counsel"/>
    <x v="31"/>
    <s v="Attorney Fees - Oth"/>
    <s v="660030"/>
    <m/>
    <m/>
    <n v="200000"/>
    <n v="578867.84"/>
    <n v="250000"/>
    <n v="224852.06"/>
    <n v="250000"/>
    <n v="35379.75"/>
    <n v="250000"/>
    <n v="250000"/>
    <m/>
  </r>
  <r>
    <s v="GU001"/>
    <x v="7"/>
    <s v="Legal"/>
    <s v="150LE0"/>
    <s v="General Counsel"/>
    <x v="15"/>
    <s v="General Advertising Services"/>
    <s v="660030"/>
    <m/>
    <m/>
    <n v="500"/>
    <n v="0"/>
    <n v="500"/>
    <n v="0"/>
    <n v="500"/>
    <n v="0"/>
    <n v="500"/>
    <n v="500"/>
    <m/>
  </r>
  <r>
    <s v="GU001"/>
    <x v="7"/>
    <s v="Legal"/>
    <s v="150LE0"/>
    <s v="General Counsel"/>
    <x v="8"/>
    <s v="Computer/Technology Equipment"/>
    <s v="660030"/>
    <m/>
    <m/>
    <m/>
    <m/>
    <n v="0"/>
    <n v="4611.97"/>
    <m/>
    <m/>
    <m/>
    <m/>
    <m/>
  </r>
  <r>
    <s v="GU001"/>
    <x v="7"/>
    <s v="Legal"/>
    <s v="150LE0"/>
    <s v="General Counsel"/>
    <x v="46"/>
    <s v="Unrestricted"/>
    <s v="660030"/>
    <m/>
    <m/>
    <m/>
    <m/>
    <n v="0"/>
    <n v="0"/>
    <m/>
    <m/>
    <m/>
    <m/>
    <m/>
  </r>
  <r>
    <s v="GU001"/>
    <x v="7"/>
    <s v="Legal"/>
    <s v="150LE1"/>
    <s v="Legal Investigations"/>
    <x v="2"/>
    <s v="Oth Non-Inst Consulting Services"/>
    <s v="660030"/>
    <m/>
    <m/>
    <m/>
    <m/>
    <m/>
    <m/>
    <n v="0"/>
    <n v="51825.75"/>
    <n v="0"/>
    <n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8">
  <r>
    <s v="DMC140"/>
    <s v="Accounting Technician II"/>
    <s v="@00714371"/>
    <s v="Geary, Camellia"/>
    <s v="410"/>
    <n v="4"/>
    <s v="C"/>
    <s v="CA"/>
    <s v="A"/>
    <n v="1"/>
    <n v="100"/>
    <n v="1"/>
    <x v="0"/>
    <s v="122BS3"/>
    <x v="0"/>
    <s v="2191"/>
    <s v="672000"/>
    <m/>
    <m/>
    <n v="0.25"/>
    <n v="47820"/>
    <n v="11955"/>
    <n v="8589.1278732713763"/>
    <n v="20544.127873271376"/>
    <n v="55.8"/>
    <n v="21.45"/>
    <n v="4047"/>
    <n v="324.16798327137542"/>
    <m/>
    <n v="234.31799999999998"/>
    <m/>
    <n v="173.3475"/>
    <n v="117.85239"/>
    <m/>
    <n v="118.35450000000002"/>
    <n v="5.9775"/>
    <m/>
    <n v="741.21"/>
    <n v="2749.65"/>
  </r>
  <r>
    <s v="DMC130"/>
    <s v="Department Assistant II"/>
    <m/>
    <m/>
    <m/>
    <m/>
    <s v="C"/>
    <s v="CA"/>
    <s v="A"/>
    <n v="0"/>
    <m/>
    <m/>
    <x v="1"/>
    <s v="117ET8"/>
    <x v="1"/>
    <s v="2191"/>
    <s v="684000"/>
    <m/>
    <m/>
    <n v="1"/>
    <n v="0"/>
    <n v="0"/>
    <n v="0"/>
    <n v="0"/>
    <n v="0"/>
    <n v="0"/>
    <n v="0"/>
    <n v="0"/>
    <m/>
    <n v="0"/>
    <m/>
    <n v="0"/>
    <n v="0"/>
    <m/>
    <n v="0"/>
    <n v="0"/>
    <m/>
    <n v="0"/>
    <n v="0"/>
  </r>
  <r>
    <s v="DMC166"/>
    <s v="Workforce Prep Assistant"/>
    <s v="@00064745"/>
    <s v="Beed, Anna B."/>
    <s v="425"/>
    <n v="4"/>
    <s v="C"/>
    <s v="CA"/>
    <s v="A"/>
    <n v="1"/>
    <n v="100"/>
    <n v="1"/>
    <x v="1"/>
    <s v="117ET8"/>
    <x v="1"/>
    <s v="2191"/>
    <s v="684000"/>
    <m/>
    <m/>
    <n v="0.6"/>
    <n v="51496.939899999954"/>
    <n v="30898.163939999969"/>
    <n v="21378.02942578181"/>
    <n v="52276.193365781779"/>
    <n v="133.91999999999999"/>
    <n v="51.48"/>
    <n v="9712.7999999999993"/>
    <n v="778.00315985130101"/>
    <m/>
    <n v="605.60401322399935"/>
    <m/>
    <n v="448.02337712999957"/>
    <n v="304.59410012051973"/>
    <m/>
    <n v="305.8918230059997"/>
    <n v="15.449081969999986"/>
    <m/>
    <n v="1915.6861642799981"/>
    <n v="7106.5777061999934"/>
  </r>
  <r>
    <s v="DMN043"/>
    <s v="Director, Clean Energy Center"/>
    <s v="@00412898"/>
    <s v="Teasdale, David G."/>
    <s v="J"/>
    <n v="12"/>
    <s v="M"/>
    <s v="M2"/>
    <s v="A"/>
    <n v="1"/>
    <n v="100"/>
    <n v="1"/>
    <x v="1"/>
    <s v="117ET8"/>
    <x v="1"/>
    <s v="2110"/>
    <s v="684000"/>
    <m/>
    <m/>
    <n v="0.4"/>
    <n v="144210.15"/>
    <n v="57684.06"/>
    <n v="26506.600512714202"/>
    <n v="84190.660512714196"/>
    <n v="89.28"/>
    <n v="34.32"/>
    <n v="6475.2000000000007"/>
    <n v="518.66877323420067"/>
    <m/>
    <n v="1130.6075759999999"/>
    <m/>
    <n v="836.41886999999997"/>
    <n v="568.64946348000001"/>
    <m/>
    <n v="261.36000000000007"/>
    <n v="28.842030000000001"/>
    <m/>
    <n v="3295.92"/>
    <n v="13267.3338"/>
  </r>
  <r>
    <s v="DMN056"/>
    <s v="Training Manager - COF"/>
    <s v="@00484050"/>
    <s v="Elliott, William Vacant"/>
    <s v="G"/>
    <n v="6"/>
    <s v="M"/>
    <s v="M2"/>
    <s v="A"/>
    <n v="1"/>
    <n v="100"/>
    <n v="1"/>
    <x v="1"/>
    <s v="117ET8"/>
    <x v="1"/>
    <s v="2110"/>
    <s v="684000"/>
    <m/>
    <m/>
    <n v="0.5"/>
    <n v="96517.23"/>
    <n v="48258.614999999998"/>
    <n v="25460.533052212748"/>
    <n v="73719.148052212753"/>
    <n v="111.6"/>
    <n v="42.9"/>
    <n v="8094"/>
    <n v="648.33596654275084"/>
    <m/>
    <n v="945.86885399999994"/>
    <m/>
    <n v="699.74991750000004"/>
    <n v="475.73342667000003"/>
    <m/>
    <n v="326.70000000000005"/>
    <n v="24.129307499999999"/>
    <m/>
    <n v="2992.03413"/>
    <n v="11099.481449999999"/>
  </r>
  <r>
    <s v="DMC149"/>
    <s v="Workforce Prep Assistant"/>
    <s v="@00453302"/>
    <s v="Lopez, Betsaira"/>
    <s v="425"/>
    <n v="2"/>
    <s v="C"/>
    <s v="CA"/>
    <s v="A"/>
    <n v="1"/>
    <n v="100"/>
    <n v="1"/>
    <x v="2"/>
    <s v="11BCR1"/>
    <x v="1"/>
    <s v="2191"/>
    <s v="684000"/>
    <m/>
    <m/>
    <n v="0.5"/>
    <n v="49015.519499999995"/>
    <n v="24507.759749999997"/>
    <n v="17385.294618033251"/>
    <n v="41893.054368033248"/>
    <n v="111.6"/>
    <n v="42.9"/>
    <n v="8094"/>
    <n v="648.33596654275084"/>
    <m/>
    <n v="480.35209109999994"/>
    <m/>
    <n v="355.36251637499998"/>
    <n v="241.59749561549998"/>
    <m/>
    <n v="242.626821525"/>
    <n v="12.253879874999999"/>
    <m/>
    <n v="1519.4811044999999"/>
    <n v="5636.7847425"/>
  </r>
  <r>
    <s v="DMC154"/>
    <s v="Computer Lab Assistant"/>
    <s v="Delete??"/>
    <m/>
    <m/>
    <m/>
    <s v="C"/>
    <s v="CY"/>
    <s v="A"/>
    <n v="0.47499999999999998"/>
    <m/>
    <m/>
    <x v="2"/>
    <s v="11BCR1"/>
    <x v="1"/>
    <s v="2191"/>
    <s v="684000"/>
    <m/>
    <m/>
    <n v="0.5"/>
    <n v="18188.187000000002"/>
    <n v="9094.0935000000009"/>
    <n v="899.02389522300007"/>
    <n v="9993.1173952230001"/>
    <m/>
    <m/>
    <m/>
    <m/>
    <m/>
    <m/>
    <n v="672.96291900000006"/>
    <n v="131.86435575000002"/>
    <n v="89.649573723000017"/>
    <m/>
    <m/>
    <n v="4.5470467500000007"/>
    <m/>
    <m/>
    <m/>
  </r>
  <r>
    <s v="DMC166"/>
    <s v="Workforce Prep Assistant"/>
    <s v="@00064745"/>
    <s v="Beed, Anna B."/>
    <s v="425"/>
    <n v="4"/>
    <s v="C"/>
    <s v="CA"/>
    <s v="A"/>
    <n v="1"/>
    <n v="100"/>
    <n v="1"/>
    <x v="2"/>
    <s v="11BCR1"/>
    <x v="1"/>
    <s v="2191"/>
    <s v="684000"/>
    <m/>
    <m/>
    <n v="0.3"/>
    <n v="51496.939899999954"/>
    <n v="15449.081969999985"/>
    <n v="10689.014712890905"/>
    <n v="26138.096682890889"/>
    <n v="66.959999999999994"/>
    <n v="25.74"/>
    <n v="4856.3999999999996"/>
    <n v="389.0015799256505"/>
    <m/>
    <n v="302.80200661199967"/>
    <m/>
    <n v="224.01168856499979"/>
    <n v="152.29705006025986"/>
    <m/>
    <n v="152.94591150299985"/>
    <n v="7.7245409849999929"/>
    <m/>
    <n v="957.84308213999907"/>
    <n v="3553.2888530999967"/>
  </r>
  <r>
    <s v="DMN043"/>
    <s v="Director, Clean Energy Center"/>
    <s v="@00412898"/>
    <s v="Teasdale, David G."/>
    <s v="J"/>
    <n v="12"/>
    <s v="M"/>
    <s v="M2"/>
    <s v="A"/>
    <n v="1"/>
    <n v="100"/>
    <n v="1"/>
    <x v="2"/>
    <s v="11BCR1"/>
    <x v="1"/>
    <s v="2110"/>
    <s v="684000"/>
    <m/>
    <m/>
    <n v="0.4"/>
    <n v="144210.15"/>
    <n v="57684.06"/>
    <n v="26506.600512714202"/>
    <n v="84190.660512714196"/>
    <n v="89.28"/>
    <n v="34.32"/>
    <n v="6475.2000000000007"/>
    <n v="518.66877323420067"/>
    <m/>
    <n v="1130.6075759999999"/>
    <m/>
    <n v="836.41886999999997"/>
    <n v="568.64946348000001"/>
    <m/>
    <n v="261.36000000000007"/>
    <n v="28.842030000000001"/>
    <m/>
    <n v="3295.92"/>
    <n v="13267.3338"/>
  </r>
  <r>
    <s v="DMN056"/>
    <s v="Training Manager - COF"/>
    <s v="@00484050"/>
    <s v="Elliott, William Vacant"/>
    <s v="G"/>
    <n v="6"/>
    <s v="M"/>
    <s v="M2"/>
    <s v="A"/>
    <n v="1"/>
    <n v="100"/>
    <n v="1"/>
    <x v="2"/>
    <s v="11BCR1"/>
    <x v="1"/>
    <s v="2110"/>
    <s v="684000"/>
    <m/>
    <m/>
    <n v="0.5"/>
    <n v="96517.23"/>
    <n v="48258.614999999998"/>
    <n v="25460.533052212748"/>
    <n v="73719.148052212753"/>
    <n v="111.6"/>
    <n v="42.9"/>
    <n v="8094"/>
    <n v="648.33596654275084"/>
    <m/>
    <n v="945.86885399999994"/>
    <m/>
    <n v="699.74991750000004"/>
    <n v="475.73342667000003"/>
    <m/>
    <n v="326.70000000000005"/>
    <n v="24.129307499999999"/>
    <m/>
    <n v="2992.03413"/>
    <n v="11099.481449999999"/>
  </r>
  <r>
    <s v="BMC531"/>
    <s v="Educational Trainer"/>
    <s v="@00003639"/>
    <s v="Casagrande, Richard M."/>
    <s v="490"/>
    <n v="14"/>
    <s v="C"/>
    <s v="CZ"/>
    <s v="A"/>
    <n v="1"/>
    <n v="100"/>
    <n v="1"/>
    <x v="3"/>
    <s v="11BBC3"/>
    <x v="1"/>
    <s v="2191"/>
    <s v="684000"/>
    <m/>
    <m/>
    <n v="1"/>
    <n v="90872.065199999997"/>
    <n v="90872.065199999997"/>
    <n v="49021.705246147103"/>
    <n v="139893.7704461471"/>
    <n v="223.2"/>
    <n v="85.8"/>
    <n v="16188"/>
    <n v="1296.6719330855017"/>
    <m/>
    <n v="1781.09247792"/>
    <m/>
    <n v="1317.6449454000001"/>
    <n v="895.81681874160006"/>
    <m/>
    <n v="653.40000000000009"/>
    <n v="45.436032599999997"/>
    <m/>
    <n v="5634.0680424000002"/>
    <n v="20900.574995999999"/>
  </r>
  <r>
    <s v="DMC148"/>
    <s v="Department Assistant III"/>
    <m/>
    <m/>
    <m/>
    <m/>
    <s v="C"/>
    <s v="CA"/>
    <s v="A"/>
    <n v="0"/>
    <m/>
    <m/>
    <x v="3"/>
    <s v="11BBC3"/>
    <x v="1"/>
    <s v="2191"/>
    <s v="684000"/>
    <m/>
    <m/>
    <n v="1"/>
    <n v="0"/>
    <n v="0"/>
    <n v="0"/>
    <n v="0"/>
    <n v="0"/>
    <n v="0"/>
    <n v="0"/>
    <n v="0"/>
    <m/>
    <n v="0"/>
    <m/>
    <n v="0"/>
    <n v="0"/>
    <m/>
    <n v="0"/>
    <n v="0"/>
    <m/>
    <n v="0"/>
    <n v="0"/>
  </r>
  <r>
    <s v="DMC149"/>
    <s v="Workforce Prep Assistant"/>
    <s v="@00453302"/>
    <s v="Lopez, Betsaira"/>
    <s v="425"/>
    <n v="2"/>
    <s v="C"/>
    <s v="CA"/>
    <s v="A"/>
    <n v="1"/>
    <n v="100"/>
    <n v="1"/>
    <x v="3"/>
    <s v="11BBC3"/>
    <x v="1"/>
    <s v="2191"/>
    <s v="684000"/>
    <m/>
    <m/>
    <n v="0.5"/>
    <n v="49015.519499999995"/>
    <n v="24507.759749999997"/>
    <n v="17385.294618033251"/>
    <n v="41893.054368033248"/>
    <n v="111.6"/>
    <n v="42.9"/>
    <n v="8094"/>
    <n v="648.33596654275084"/>
    <m/>
    <n v="480.35209109999994"/>
    <m/>
    <n v="355.36251637499998"/>
    <n v="241.59749561549998"/>
    <m/>
    <n v="242.626821525"/>
    <n v="12.253879874999999"/>
    <m/>
    <n v="1519.4811044999999"/>
    <n v="5636.7847425"/>
  </r>
  <r>
    <s v="DMC154"/>
    <s v="Computer Lab Assistant"/>
    <s v="Delete??"/>
    <m/>
    <m/>
    <m/>
    <s v="C"/>
    <s v="CY"/>
    <s v="A"/>
    <n v="0.47499999999999998"/>
    <m/>
    <m/>
    <x v="3"/>
    <s v="11BBC3"/>
    <x v="1"/>
    <s v="2191"/>
    <s v="684000"/>
    <m/>
    <m/>
    <n v="0.5"/>
    <n v="18188.187000000002"/>
    <n v="9094.0935000000009"/>
    <n v="899.02389522300007"/>
    <n v="9993.1173952230001"/>
    <m/>
    <m/>
    <m/>
    <m/>
    <m/>
    <m/>
    <n v="672.96291900000006"/>
    <n v="131.86435575000002"/>
    <n v="89.649573723000017"/>
    <m/>
    <m/>
    <n v="4.5470467500000007"/>
    <m/>
    <m/>
    <m/>
  </r>
  <r>
    <s v="DMN043"/>
    <s v="Director, Clean Energy Center"/>
    <s v="@00412898"/>
    <s v="Teasdale, David G."/>
    <s v="J"/>
    <n v="12"/>
    <s v="M"/>
    <s v="M2"/>
    <s v="A"/>
    <n v="1"/>
    <n v="100"/>
    <n v="1"/>
    <x v="3"/>
    <s v="11BBC3"/>
    <x v="1"/>
    <s v="2110"/>
    <s v="684000"/>
    <m/>
    <m/>
    <n v="0.05"/>
    <n v="144210.15"/>
    <n v="7210.5074999999997"/>
    <n v="3313.3250640892752"/>
    <n v="10523.832564089274"/>
    <n v="11.16"/>
    <n v="4.29"/>
    <n v="809.40000000000009"/>
    <n v="64.833596654275084"/>
    <m/>
    <n v="141.32594699999999"/>
    <m/>
    <n v="104.55235875"/>
    <n v="71.081182935000001"/>
    <m/>
    <n v="32.670000000000009"/>
    <n v="3.6052537500000001"/>
    <m/>
    <n v="411.99"/>
    <n v="1658.416725"/>
  </r>
  <r>
    <s v="DMN073"/>
    <s v="Dir, Economic Dev &amp; Corp Trng"/>
    <s v="@00003639"/>
    <s v="Casagrande, Richard M."/>
    <s v="H"/>
    <n v="4"/>
    <s v="M"/>
    <s v="M2"/>
    <s v="A"/>
    <n v="1"/>
    <n v="100"/>
    <n v="1"/>
    <x v="3"/>
    <s v="11BBC3"/>
    <x v="1"/>
    <s v="2191"/>
    <s v="684000"/>
    <m/>
    <m/>
    <n v="1"/>
    <n v="101553.54"/>
    <n v="101553.54"/>
    <n v="52615.572894405501"/>
    <n v="154169.11289440549"/>
    <n v="223.2"/>
    <n v="85.8"/>
    <n v="16188"/>
    <n v="1296.6719330855017"/>
    <m/>
    <n v="1990.4493839999998"/>
    <m/>
    <n v="1472.5263299999999"/>
    <n v="1001.11479732"/>
    <m/>
    <n v="653.40000000000009"/>
    <n v="50.776769999999999"/>
    <m/>
    <n v="6296.3194799999992"/>
    <n v="23357.314200000001"/>
  </r>
  <r>
    <s v="BEC018"/>
    <s v="Administrative Assistant"/>
    <s v="@00058294"/>
    <s v="Horton, Genevieve T."/>
    <s v="445"/>
    <n v="6"/>
    <s v="C"/>
    <s v="CA"/>
    <s v="A"/>
    <n v="1"/>
    <n v="100"/>
    <n v="1"/>
    <x v="4"/>
    <s v="11BWD1"/>
    <x v="1"/>
    <s v="2191"/>
    <s v="684000"/>
    <m/>
    <m/>
    <n v="0.5"/>
    <n v="59720.639999999999"/>
    <n v="29860.32"/>
    <n v="19239.196681102752"/>
    <n v="49099.516681102752"/>
    <n v="111.6"/>
    <n v="42.9"/>
    <n v="8094"/>
    <n v="648.33596654275084"/>
    <m/>
    <n v="585.26227199999994"/>
    <m/>
    <n v="432.97464000000002"/>
    <n v="294.36303456000002"/>
    <m/>
    <n v="295.61716800000005"/>
    <n v="14.930160000000001"/>
    <m/>
    <n v="1851.3398399999999"/>
    <n v="6867.8735999999999"/>
  </r>
  <r>
    <s v="BMC503"/>
    <s v="Public Safety Officer I"/>
    <s v="@00597540"/>
    <s v="Goode, Jared J."/>
    <s v="375"/>
    <n v="3"/>
    <s v="C"/>
    <s v="CA"/>
    <s v="A"/>
    <n v="1"/>
    <n v="100"/>
    <n v="1"/>
    <x v="4"/>
    <s v="D01CO2"/>
    <x v="2"/>
    <s v="2191"/>
    <s v="677040"/>
    <m/>
    <m/>
    <n v="1"/>
    <n v="39248.160000000003"/>
    <n v="39248.160000000003"/>
    <n v="31387.586134365505"/>
    <n v="70635.746134365501"/>
    <n v="223.2"/>
    <n v="85.8"/>
    <n v="16188"/>
    <n v="1296.6719330855017"/>
    <m/>
    <n v="769.26393600000006"/>
    <m/>
    <n v="569.09832000000006"/>
    <n v="386.90836128000007"/>
    <m/>
    <n v="388.55678400000005"/>
    <n v="19.624080000000003"/>
    <m/>
    <n v="2433.3859200000002"/>
    <n v="9027.0768000000007"/>
  </r>
  <r>
    <s v="BMC699"/>
    <s v="Public Safety Officer II"/>
    <s v="@00380380"/>
    <s v="Orozco Jr, Ricardo"/>
    <s v="410"/>
    <n v="2"/>
    <s v="C"/>
    <s v="CA"/>
    <s v="A"/>
    <n v="1"/>
    <n v="100"/>
    <n v="1"/>
    <x v="4"/>
    <s v="D01CO2"/>
    <x v="2"/>
    <s v="2191"/>
    <s v="677010"/>
    <m/>
    <m/>
    <n v="1"/>
    <n v="45515.76"/>
    <n v="45515.76"/>
    <n v="33558.419535165507"/>
    <n v="79074.179535165516"/>
    <n v="223.2"/>
    <n v="85.8"/>
    <n v="16188"/>
    <n v="1296.6719330855017"/>
    <m/>
    <n v="892.10889599999996"/>
    <m/>
    <n v="659.97852000000012"/>
    <n v="448.69436208000002"/>
    <m/>
    <n v="450.60602400000005"/>
    <n v="22.75788"/>
    <m/>
    <n v="2821.97712"/>
    <n v="10468.624800000001"/>
  </r>
  <r>
    <s v="BMF238"/>
    <s v="Instructor, English"/>
    <s v="@00000269"/>
    <s v="Boyles, Pamela K."/>
    <s v="04"/>
    <n v="15"/>
    <s v="N"/>
    <s v="N1"/>
    <s v="A"/>
    <n v="1"/>
    <n v="100"/>
    <n v="1"/>
    <x v="4"/>
    <s v="140HR0"/>
    <x v="3"/>
    <s v="1251"/>
    <s v="673000"/>
    <m/>
    <m/>
    <n v="0.3"/>
    <n v="125015.23"/>
    <n v="37504.568999999996"/>
    <n v="13220.46709332765"/>
    <n v="50725.036093327646"/>
    <m/>
    <n v="25.74"/>
    <n v="4971.5999999999995"/>
    <n v="389.0015799256505"/>
    <m/>
    <n v="735.08955239999989"/>
    <m/>
    <n v="543.81625050000002"/>
    <n v="369.72004120199995"/>
    <m/>
    <n v="196.02"/>
    <n v="18.752284499999998"/>
    <n v="5970.7273847999995"/>
    <m/>
    <m/>
  </r>
  <r>
    <s v="BMF515"/>
    <s v="Instructor, English"/>
    <s v="@00054526"/>
    <s v="Tatum, Ann M."/>
    <s v="04"/>
    <n v="15"/>
    <s v="I"/>
    <s v="I1"/>
    <s v="A"/>
    <n v="1"/>
    <n v="100"/>
    <n v="1"/>
    <x v="4"/>
    <s v="140HR0"/>
    <x v="3"/>
    <s v="1251"/>
    <s v="673000"/>
    <m/>
    <m/>
    <n v="0.2"/>
    <n v="125015.23"/>
    <n v="25003.046000000002"/>
    <n v="8813.6447288851014"/>
    <n v="33816.690728885107"/>
    <m/>
    <n v="17.16"/>
    <n v="3314.4"/>
    <n v="259.33438661710034"/>
    <m/>
    <n v="490.05970160000004"/>
    <m/>
    <n v="362.54416700000007"/>
    <n v="246.48002746800003"/>
    <m/>
    <n v="130.68000000000004"/>
    <n v="12.501523000000001"/>
    <n v="3980.4849232000006"/>
    <m/>
    <m/>
  </r>
  <r>
    <s v="CMF022"/>
    <s v="Instructor, Reading"/>
    <s v="@00409473"/>
    <s v="Vasquez, Laura J."/>
    <s v="02"/>
    <n v="13"/>
    <s v="I"/>
    <s v="I1"/>
    <s v="A"/>
    <n v="1"/>
    <n v="100"/>
    <n v="1"/>
    <x v="4"/>
    <s v="140HR0"/>
    <x v="3"/>
    <s v="1251"/>
    <s v="601000"/>
    <m/>
    <s v="CI"/>
    <n v="0.2"/>
    <n v="103930.05"/>
    <n v="20786.010000000002"/>
    <n v="7954.8116111971003"/>
    <n v="28740.821611197101"/>
    <m/>
    <n v="17.16"/>
    <n v="3314.4"/>
    <n v="259.33438661710034"/>
    <m/>
    <n v="407.40579600000001"/>
    <m/>
    <n v="301.39714500000002"/>
    <n v="204.90848658000002"/>
    <m/>
    <n v="130.68000000000004"/>
    <n v="10.393005"/>
    <n v="3309.1327920000003"/>
    <m/>
    <m/>
  </r>
  <r>
    <s v="CMF039"/>
    <s v="Instructor, English Basic Skls"/>
    <s v="@00425782"/>
    <s v="Crow, Matthew"/>
    <s v="03"/>
    <n v="15"/>
    <s v="I"/>
    <s v="I1"/>
    <s v="A"/>
    <n v="1"/>
    <n v="100"/>
    <n v="1"/>
    <x v="4"/>
    <s v="140HR0"/>
    <x v="3"/>
    <s v="1251"/>
    <s v="679000"/>
    <m/>
    <s v="CI"/>
    <n v="0.5"/>
    <n v="116835.36"/>
    <n v="58417.68"/>
    <n v="21201.16383998275"/>
    <n v="79618.843839982757"/>
    <m/>
    <n v="42.9"/>
    <n v="8286"/>
    <n v="648.33596654275084"/>
    <m/>
    <n v="1144.9865279999999"/>
    <m/>
    <n v="847.05636000000004"/>
    <n v="575.88148944"/>
    <m/>
    <n v="326.70000000000005"/>
    <n v="29.208840000000002"/>
    <n v="9300.0946560000011"/>
    <m/>
    <m/>
  </r>
  <r>
    <s v="DMC001"/>
    <s v="Cloud Infrastructure Engineer"/>
    <s v="@00003300"/>
    <s v="Arnold, Michael W."/>
    <s v="540"/>
    <n v="15"/>
    <s v="C"/>
    <s v="CA"/>
    <s v="A"/>
    <n v="1"/>
    <n v="100"/>
    <n v="1"/>
    <x v="4"/>
    <s v="133II0"/>
    <x v="4"/>
    <s v="2191"/>
    <s v="678000"/>
    <m/>
    <m/>
    <n v="1"/>
    <n v="119232.03"/>
    <n v="119232.03"/>
    <n v="58743.642282825502"/>
    <n v="177975.67228282552"/>
    <n v="223.2"/>
    <n v="85.8"/>
    <n v="16188"/>
    <n v="1296.6719330855017"/>
    <n v="180"/>
    <n v="2336.9477879999999"/>
    <m/>
    <n v="1728.864435"/>
    <n v="1175.3893517399999"/>
    <m/>
    <n v="653.40000000000009"/>
    <n v="59.616014999999997"/>
    <m/>
    <n v="7392.3858600000003"/>
    <n v="27423.366900000001"/>
  </r>
  <r>
    <s v="DMC002"/>
    <s v="Enterprise Res Plan Analyst II"/>
    <s v="@00004260"/>
    <s v="Chiang, Charley C."/>
    <s v="530"/>
    <n v="15"/>
    <s v="C"/>
    <s v="CA"/>
    <s v="A"/>
    <n v="1"/>
    <n v="100"/>
    <n v="1"/>
    <x v="4"/>
    <s v="132EA0"/>
    <x v="4"/>
    <s v="2191"/>
    <s v="678000"/>
    <m/>
    <m/>
    <n v="1"/>
    <n v="113486.8"/>
    <n v="113486.8"/>
    <n v="56630.613687485507"/>
    <n v="170117.4136874855"/>
    <n v="223.2"/>
    <n v="85.8"/>
    <n v="16188"/>
    <n v="1296.6719330855017"/>
    <m/>
    <n v="2224.3412800000001"/>
    <m/>
    <n v="1645.5586000000001"/>
    <n v="1118.7528744000001"/>
    <m/>
    <n v="653.40000000000009"/>
    <n v="56.743400000000001"/>
    <m/>
    <n v="7036.1815999999999"/>
    <n v="26101.964000000004"/>
  </r>
  <r>
    <s v="DMC003"/>
    <s v="Enterprise Res Plan Analyst I"/>
    <s v="@00650501"/>
    <s v="Raboy, Michael"/>
    <s v="515"/>
    <n v="4"/>
    <s v="C"/>
    <s v="CA"/>
    <s v="A"/>
    <n v="1"/>
    <n v="100"/>
    <n v="1"/>
    <x v="4"/>
    <s v="132EA0"/>
    <x v="4"/>
    <s v="2191"/>
    <s v="678000"/>
    <m/>
    <m/>
    <n v="1"/>
    <n v="80317.679999999993"/>
    <n v="80317.679999999993"/>
    <n v="45470.597910525503"/>
    <n v="125788.2779105255"/>
    <n v="223.2"/>
    <n v="85.8"/>
    <n v="16188"/>
    <n v="1296.6719330855017"/>
    <m/>
    <n v="1574.2265279999999"/>
    <m/>
    <n v="1164.60636"/>
    <n v="791.77168943999993"/>
    <m/>
    <n v="653.40000000000009"/>
    <n v="40.158839999999998"/>
    <m/>
    <n v="4979.6961599999995"/>
    <n v="18473.0664"/>
  </r>
  <r>
    <s v="DMC009"/>
    <s v="Accounting Technician II"/>
    <s v="@00456143"/>
    <s v="Zorrilla, Claribeth"/>
    <s v="410"/>
    <n v="2"/>
    <s v="C"/>
    <s v="CA"/>
    <s v="A"/>
    <n v="1"/>
    <n v="100"/>
    <n v="1"/>
    <x v="4"/>
    <s v="122BS3"/>
    <x v="0"/>
    <s v="2191"/>
    <s v="672000"/>
    <m/>
    <m/>
    <n v="1"/>
    <n v="45515.76"/>
    <n v="45515.76"/>
    <n v="33558.419535165507"/>
    <n v="79074.179535165516"/>
    <n v="223.2"/>
    <n v="85.8"/>
    <n v="16188"/>
    <n v="1296.6719330855017"/>
    <m/>
    <n v="892.10889599999996"/>
    <m/>
    <n v="659.97852000000012"/>
    <n v="448.69436208000002"/>
    <m/>
    <n v="450.60602400000005"/>
    <n v="22.75788"/>
    <m/>
    <n v="2821.97712"/>
    <n v="10468.624800000001"/>
  </r>
  <r>
    <s v="DMC012"/>
    <s v="Accounting Technician II"/>
    <s v="@00121146"/>
    <s v="Peters, Jacqueline D."/>
    <s v="410"/>
    <n v="7"/>
    <s v="C"/>
    <s v="CA"/>
    <s v="A"/>
    <n v="1"/>
    <n v="100"/>
    <n v="1"/>
    <x v="4"/>
    <s v="122BS4"/>
    <x v="0"/>
    <s v="2191"/>
    <s v="672000"/>
    <m/>
    <m/>
    <n v="1"/>
    <n v="51496.92"/>
    <n v="51496.92"/>
    <n v="35630.042150445501"/>
    <n v="87126.962150445499"/>
    <n v="223.2"/>
    <n v="85.8"/>
    <n v="16188"/>
    <n v="1296.6719330855017"/>
    <m/>
    <n v="1009.3396319999999"/>
    <m/>
    <n v="746.70533999999998"/>
    <n v="507.65663735999999"/>
    <m/>
    <n v="509.81950800000004"/>
    <n v="25.748459999999998"/>
    <m/>
    <n v="3192.8090400000001"/>
    <n v="11844.2916"/>
  </r>
  <r>
    <s v="DMC016"/>
    <s v="Benefits Specialist"/>
    <s v="@00057669"/>
    <s v="Banducci, Gina D."/>
    <s v="445"/>
    <n v="4"/>
    <s v="C"/>
    <s v="CA"/>
    <s v="A"/>
    <n v="1"/>
    <n v="100"/>
    <n v="1"/>
    <x v="4"/>
    <s v="140HR0"/>
    <x v="3"/>
    <s v="2191"/>
    <s v="673000"/>
    <m/>
    <m/>
    <n v="1"/>
    <n v="56843.040000000001"/>
    <n v="56843.040000000001"/>
    <n v="37481.7135814055"/>
    <n v="94324.753581405501"/>
    <n v="223.2"/>
    <n v="85.8"/>
    <n v="16188"/>
    <n v="1296.6719330855017"/>
    <m/>
    <n v="1114.1235839999999"/>
    <m/>
    <n v="824.22408000000007"/>
    <n v="560.35868832000006"/>
    <m/>
    <n v="562.74609600000008"/>
    <n v="28.421520000000001"/>
    <m/>
    <n v="3524.2684800000002"/>
    <n v="13073.899200000002"/>
  </r>
  <r>
    <s v="DMC018"/>
    <s v="Accounting Technician II"/>
    <s v="@00300770"/>
    <s v="Medina, Ivan"/>
    <s v="410"/>
    <n v="4"/>
    <s v="C"/>
    <s v="CA"/>
    <s v="A"/>
    <n v="1"/>
    <n v="100"/>
    <n v="1"/>
    <x v="4"/>
    <s v="122BS6"/>
    <x v="0"/>
    <s v="2191"/>
    <s v="672000"/>
    <m/>
    <m/>
    <n v="1"/>
    <n v="47820"/>
    <n v="47820"/>
    <n v="34356.511493085505"/>
    <n v="82176.511493085505"/>
    <n v="223.2"/>
    <n v="85.8"/>
    <n v="16188"/>
    <n v="1296.6719330855017"/>
    <m/>
    <n v="937.27199999999993"/>
    <m/>
    <n v="693.39"/>
    <n v="471.40956"/>
    <m/>
    <n v="473.41800000000006"/>
    <n v="23.91"/>
    <m/>
    <n v="2964.84"/>
    <n v="10998.6"/>
  </r>
  <r>
    <s v="DMC020"/>
    <s v="Accounting Coordinator"/>
    <s v="@00603122"/>
    <s v="Heredia, Enrique L."/>
    <n v="465"/>
    <n v="4"/>
    <s v="C"/>
    <s v="CA"/>
    <s v="A"/>
    <n v="1"/>
    <n v="100"/>
    <n v="1"/>
    <x v="4"/>
    <s v="122BS2"/>
    <x v="0"/>
    <s v="2191"/>
    <s v="672000"/>
    <m/>
    <m/>
    <n v="1"/>
    <n v="62744.04"/>
    <n v="62744.04"/>
    <n v="39525.5721394055"/>
    <n v="102269.61213940551"/>
    <n v="223.2"/>
    <n v="85.8"/>
    <n v="16188"/>
    <n v="1296.6719330855017"/>
    <m/>
    <n v="1229.7831839999999"/>
    <m/>
    <n v="909.78858000000002"/>
    <n v="618.53074632000005"/>
    <m/>
    <n v="621.16599600000006"/>
    <n v="31.372020000000003"/>
    <m/>
    <n v="3890.1304799999998"/>
    <n v="14431.129200000001"/>
  </r>
  <r>
    <s v="DMC021"/>
    <s v="Department Assistant III"/>
    <s v="@00038363"/>
    <s v="Melendez, Lupe I."/>
    <s v="380"/>
    <n v="7"/>
    <s v="C"/>
    <s v="CA"/>
    <s v="A"/>
    <n v="1"/>
    <n v="100"/>
    <n v="1"/>
    <x v="4"/>
    <s v="D01CO2"/>
    <x v="2"/>
    <s v="2191"/>
    <s v="660010"/>
    <m/>
    <m/>
    <n v="1"/>
    <n v="44405.64"/>
    <n v="44405.64"/>
    <n v="33173.920592205497"/>
    <n v="77579.560592205497"/>
    <n v="223.2"/>
    <n v="85.8"/>
    <n v="16188"/>
    <n v="1296.6719330855017"/>
    <m/>
    <n v="870.35054400000001"/>
    <m/>
    <n v="643.88178000000005"/>
    <n v="437.75079912000001"/>
    <m/>
    <n v="439.61583600000006"/>
    <n v="22.202819999999999"/>
    <m/>
    <n v="2753.14968"/>
    <n v="10213.297200000001"/>
  </r>
  <r>
    <s v="DMC023"/>
    <s v="Accounting Technician II"/>
    <s v="@00000414"/>
    <s v="Gonzalez, Julia A."/>
    <s v="410"/>
    <n v="15"/>
    <s v="C"/>
    <s v="CA"/>
    <s v="A"/>
    <n v="1"/>
    <n v="100"/>
    <n v="1"/>
    <x v="4"/>
    <s v="122BS7"/>
    <x v="0"/>
    <s v="2191"/>
    <s v="672000"/>
    <m/>
    <m/>
    <n v="1"/>
    <n v="62744.04"/>
    <n v="62744.04"/>
    <n v="39525.5721394055"/>
    <n v="102269.61213940551"/>
    <n v="223.2"/>
    <n v="85.8"/>
    <n v="16188"/>
    <n v="1296.6719330855017"/>
    <m/>
    <n v="1229.7831839999999"/>
    <m/>
    <n v="909.78858000000002"/>
    <n v="618.53074632000005"/>
    <m/>
    <n v="621.16599600000006"/>
    <n v="31.372020000000003"/>
    <m/>
    <n v="3890.1304799999998"/>
    <n v="14431.129200000001"/>
  </r>
  <r>
    <s v="DMC025"/>
    <s v="Accounting Technician II"/>
    <s v="@00211959"/>
    <s v="Allen, Rachel R."/>
    <s v="410"/>
    <n v="8"/>
    <s v="C"/>
    <s v="CA"/>
    <s v="A"/>
    <n v="1"/>
    <n v="100"/>
    <n v="1"/>
    <x v="4"/>
    <s v="122BS3"/>
    <x v="0"/>
    <s v="2191"/>
    <s v="672000"/>
    <m/>
    <m/>
    <n v="1"/>
    <n v="52784.4"/>
    <n v="52784.4"/>
    <n v="36075.971148285498"/>
    <n v="88860.3711482855"/>
    <n v="223.2"/>
    <n v="85.8"/>
    <n v="16188"/>
    <n v="1296.6719330855017"/>
    <m/>
    <n v="1034.5742399999999"/>
    <m/>
    <n v="765.37380000000007"/>
    <n v="520.34861520000004"/>
    <m/>
    <n v="522.56556"/>
    <n v="26.392200000000003"/>
    <m/>
    <n v="3272.6327999999999"/>
    <n v="12140.412"/>
  </r>
  <r>
    <s v="DMC028"/>
    <s v="Enterprise Res Plan Analyst I"/>
    <s v="@00538679"/>
    <s v="Roopawala, Juzar A."/>
    <s v="515"/>
    <n v="13"/>
    <s v="C"/>
    <s v="CA"/>
    <s v="A"/>
    <n v="1"/>
    <n v="100"/>
    <n v="1"/>
    <x v="4"/>
    <s v="132EA0"/>
    <x v="4"/>
    <s v="2191"/>
    <s v="678000"/>
    <m/>
    <m/>
    <n v="1"/>
    <n v="100305.72"/>
    <n v="100305.72"/>
    <n v="52195.7338728455"/>
    <n v="152501.45387284551"/>
    <n v="223.2"/>
    <n v="85.8"/>
    <n v="16188"/>
    <n v="1296.6719330855017"/>
    <m/>
    <n v="1965.9921119999999"/>
    <m/>
    <n v="1454.4329400000001"/>
    <n v="988.81378776000008"/>
    <m/>
    <n v="653.40000000000009"/>
    <n v="50.152860000000004"/>
    <m/>
    <n v="6218.9546399999999"/>
    <n v="23070.315600000002"/>
  </r>
  <r>
    <s v="DMC030"/>
    <s v="WAN Engineer"/>
    <s v="@00131490"/>
    <s v="Taylor, Kenneth J."/>
    <s v="510"/>
    <n v="6"/>
    <s v="C"/>
    <s v="CA"/>
    <s v="A"/>
    <n v="1"/>
    <n v="100"/>
    <n v="1"/>
    <x v="4"/>
    <s v="133II0"/>
    <x v="4"/>
    <s v="2191"/>
    <s v="678000"/>
    <m/>
    <m/>
    <n v="1"/>
    <n v="82325.64"/>
    <n v="82325.64"/>
    <n v="46146.192116205508"/>
    <n v="128471.83211620551"/>
    <n v="223.2"/>
    <n v="85.8"/>
    <n v="16188"/>
    <n v="1296.6719330855017"/>
    <m/>
    <n v="1613.5825439999999"/>
    <m/>
    <n v="1193.7217800000001"/>
    <n v="811.56615912000007"/>
    <m/>
    <n v="653.40000000000009"/>
    <n v="41.162820000000004"/>
    <m/>
    <n v="5104.1896799999995"/>
    <n v="18934.897199999999"/>
  </r>
  <r>
    <s v="DMC040"/>
    <s v="Security Specialist"/>
    <s v="@00004665"/>
    <s v="Galvez, Marco V."/>
    <s v="515"/>
    <n v="15"/>
    <s v="C"/>
    <s v="CA"/>
    <s v="A"/>
    <n v="1"/>
    <n v="100"/>
    <n v="1"/>
    <x v="4"/>
    <s v="131IS0"/>
    <x v="4"/>
    <s v="2191"/>
    <s v="678000"/>
    <m/>
    <m/>
    <n v="1"/>
    <n v="105383.75"/>
    <n v="105383.75"/>
    <n v="53904.277690585499"/>
    <n v="159288.0276905855"/>
    <n v="223.2"/>
    <n v="85.8"/>
    <n v="16188"/>
    <n v="1296.6719330855017"/>
    <m/>
    <n v="2065.5214999999998"/>
    <m/>
    <n v="1528.0643750000002"/>
    <n v="1038.8730075000001"/>
    <m/>
    <n v="653.40000000000009"/>
    <n v="52.691875000000003"/>
    <m/>
    <n v="6533.7924999999996"/>
    <n v="24238.262500000001"/>
  </r>
  <r>
    <s v="DMC042"/>
    <s v="Senior Systems Administrator"/>
    <s v="@00243820"/>
    <s v="Ding, Suyun"/>
    <s v="540"/>
    <n v="15"/>
    <s v="C"/>
    <s v="CA"/>
    <s v="A"/>
    <n v="1"/>
    <n v="100"/>
    <n v="1"/>
    <x v="4"/>
    <s v="133II0"/>
    <x v="4"/>
    <s v="2191"/>
    <s v="678000"/>
    <m/>
    <m/>
    <n v="1"/>
    <n v="119232.03"/>
    <n v="119232.03"/>
    <n v="58743.642282825502"/>
    <n v="177975.67228282552"/>
    <n v="223.2"/>
    <n v="85.8"/>
    <n v="16188"/>
    <n v="1296.6719330855017"/>
    <n v="180"/>
    <n v="2336.9477879999999"/>
    <m/>
    <n v="1728.864435"/>
    <n v="1175.3893517399999"/>
    <m/>
    <n v="653.40000000000009"/>
    <n v="59.616014999999997"/>
    <m/>
    <n v="7392.3858600000003"/>
    <n v="27423.366900000001"/>
  </r>
  <r>
    <s v="DMC049"/>
    <s v="Administrative Assistant"/>
    <s v="@00003172"/>
    <s v="Munoz, Cynthia"/>
    <s v="445"/>
    <n v="15"/>
    <s v="C"/>
    <s v="CA"/>
    <s v="A"/>
    <n v="1"/>
    <n v="100"/>
    <n v="1"/>
    <x v="4"/>
    <s v="130IT0"/>
    <x v="4"/>
    <s v="2191"/>
    <s v="678000"/>
    <m/>
    <m/>
    <n v="1"/>
    <n v="74582.880000000005"/>
    <n v="74582.880000000005"/>
    <n v="43541.078572125509"/>
    <n v="118123.95857212551"/>
    <n v="223.2"/>
    <n v="85.8"/>
    <n v="16188"/>
    <n v="1296.6719330855017"/>
    <m/>
    <n v="1461.8244480000001"/>
    <m/>
    <n v="1081.4517600000001"/>
    <n v="735.23803104000012"/>
    <m/>
    <n v="653.40000000000009"/>
    <n v="37.291440000000001"/>
    <m/>
    <n v="4624.1385600000003"/>
    <n v="17154.062400000003"/>
  </r>
  <r>
    <s v="DMC051"/>
    <s v="Enterprise Res Plan Analyst I"/>
    <m/>
    <s v="Vacant"/>
    <m/>
    <m/>
    <s v="C"/>
    <s v="CA"/>
    <s v="A"/>
    <n v="1"/>
    <m/>
    <m/>
    <x v="4"/>
    <s v="132EA0"/>
    <x v="4"/>
    <s v="2191"/>
    <s v="678000"/>
    <m/>
    <m/>
    <n v="1"/>
    <n v="74582.880000000005"/>
    <n v="74582.880000000005"/>
    <n v="43541.078572125509"/>
    <n v="118123.95857212551"/>
    <n v="223.2"/>
    <n v="85.8"/>
    <n v="16188"/>
    <n v="1296.6719330855017"/>
    <m/>
    <n v="1461.8244480000001"/>
    <m/>
    <n v="1081.4517600000001"/>
    <n v="735.23803104000012"/>
    <m/>
    <n v="653.40000000000009"/>
    <n v="37.291440000000001"/>
    <m/>
    <n v="4624.1385600000003"/>
    <n v="17154.062400000003"/>
  </r>
  <r>
    <s v="DMC064"/>
    <s v="Systems Administrator"/>
    <s v="@00631441"/>
    <s v="Wallace, Justin M."/>
    <s v="525"/>
    <n v="2"/>
    <s v="C"/>
    <s v="CA"/>
    <s v="A"/>
    <n v="1"/>
    <n v="100"/>
    <n v="1"/>
    <x v="4"/>
    <s v="133II0"/>
    <x v="4"/>
    <s v="2191"/>
    <s v="678000"/>
    <m/>
    <m/>
    <n v="1"/>
    <n v="80317.726800000004"/>
    <n v="80317.726800000004"/>
    <n v="45470.613656759902"/>
    <n v="125788.34045675991"/>
    <n v="223.2"/>
    <n v="85.8"/>
    <n v="16188"/>
    <n v="1296.6719330855017"/>
    <m/>
    <n v="1574.22744528"/>
    <m/>
    <n v="1164.6070386000001"/>
    <n v="791.77215079440009"/>
    <m/>
    <n v="653.40000000000009"/>
    <n v="40.158863400000001"/>
    <m/>
    <n v="4979.6990616000003"/>
    <n v="18473.077164000002"/>
  </r>
  <r>
    <s v="DMC083"/>
    <s v="Enterprise Res Plan Analyst II"/>
    <s v="@00257242"/>
    <s v="Tully, Brian A."/>
    <s v="530"/>
    <n v="14"/>
    <s v="C"/>
    <s v="CA"/>
    <s v="A"/>
    <n v="1"/>
    <n v="100"/>
    <n v="1"/>
    <x v="4"/>
    <s v="132EA0"/>
    <x v="4"/>
    <s v="2191"/>
    <s v="678000"/>
    <m/>
    <m/>
    <n v="1"/>
    <n v="110718.84"/>
    <n v="110718.84"/>
    <n v="55699.311401805506"/>
    <n v="166418.15140180552"/>
    <n v="223.2"/>
    <n v="85.8"/>
    <n v="16188"/>
    <n v="1296.6719330855017"/>
    <m/>
    <n v="2170.0892639999997"/>
    <m/>
    <n v="1605.42318"/>
    <n v="1091.4663247200001"/>
    <m/>
    <n v="653.40000000000009"/>
    <n v="55.35942"/>
    <m/>
    <n v="6864.56808"/>
    <n v="25465.333200000001"/>
  </r>
  <r>
    <s v="DMC084"/>
    <s v="Database Administrator II"/>
    <s v="@00000243"/>
    <s v="Bowman, Carl N."/>
    <s v="540"/>
    <n v="15"/>
    <s v="C"/>
    <s v="CA"/>
    <s v="A"/>
    <n v="1"/>
    <n v="100"/>
    <n v="1"/>
    <x v="4"/>
    <s v="132EA0"/>
    <x v="4"/>
    <s v="2191"/>
    <s v="678000"/>
    <m/>
    <m/>
    <n v="1"/>
    <n v="119232"/>
    <n v="119232"/>
    <n v="58743.632189085503"/>
    <n v="177975.6321890855"/>
    <n v="223.2"/>
    <n v="85.8"/>
    <n v="16188"/>
    <n v="1296.6719330855017"/>
    <n v="180"/>
    <n v="2336.9472000000001"/>
    <m/>
    <n v="1728.864"/>
    <n v="1175.389056"/>
    <m/>
    <n v="653.40000000000009"/>
    <n v="59.616"/>
    <m/>
    <n v="7392.384"/>
    <n v="27423.360000000001"/>
  </r>
  <r>
    <s v="DMC086"/>
    <s v="Human Resources Assistant"/>
    <s v="@00218524"/>
    <s v="Porreco, Jennie E."/>
    <s v="425"/>
    <n v="15"/>
    <s v="C"/>
    <s v="CA"/>
    <s v="A"/>
    <n v="1"/>
    <n v="100"/>
    <n v="1"/>
    <x v="4"/>
    <s v="145HR4"/>
    <x v="3"/>
    <s v="2191"/>
    <s v="673000"/>
    <m/>
    <m/>
    <n v="1"/>
    <n v="67568.399999999994"/>
    <n v="67568.399999999994"/>
    <n v="41181.000660285499"/>
    <n v="108749.40066028549"/>
    <n v="223.2"/>
    <n v="85.8"/>
    <n v="16188"/>
    <n v="1296.6719330855017"/>
    <m/>
    <n v="1324.3406399999999"/>
    <m/>
    <n v="979.74180000000001"/>
    <n v="666.08928719999994"/>
    <m/>
    <n v="653.40000000000009"/>
    <n v="33.784199999999998"/>
    <m/>
    <n v="4189.2407999999996"/>
    <n v="15540.732"/>
  </r>
  <r>
    <s v="DMC087"/>
    <s v="Human Resources Assistant"/>
    <s v="@00451196"/>
    <s v="Carlson, Lori D."/>
    <s v="425"/>
    <n v="7"/>
    <s v="C"/>
    <s v="CA"/>
    <s v="A"/>
    <n v="1"/>
    <n v="100"/>
    <n v="1"/>
    <x v="4"/>
    <s v="145HR3"/>
    <x v="3"/>
    <s v="2191"/>
    <s v="673000"/>
    <m/>
    <m/>
    <n v="1"/>
    <n v="55456.56"/>
    <n v="55456.56"/>
    <n v="37001.495141565494"/>
    <n v="92458.055141565492"/>
    <n v="223.2"/>
    <n v="85.8"/>
    <n v="16188"/>
    <n v="1296.6719330855017"/>
    <m/>
    <n v="1086.948576"/>
    <m/>
    <n v="804.12012000000004"/>
    <n v="546.69076847999997"/>
    <m/>
    <n v="549.01994400000001"/>
    <n v="27.728279999999998"/>
    <m/>
    <n v="3438.30672"/>
    <n v="12755.0088"/>
  </r>
  <r>
    <s v="DMC092"/>
    <s v="Accounting Technician II"/>
    <s v="@00000238"/>
    <s v="Tutop, Zenaida F."/>
    <s v="410"/>
    <n v="15"/>
    <s v="C"/>
    <s v="CA"/>
    <s v="A"/>
    <n v="1"/>
    <n v="100"/>
    <n v="1"/>
    <x v="4"/>
    <s v="122BS4"/>
    <x v="0"/>
    <s v="2191"/>
    <s v="672000"/>
    <m/>
    <m/>
    <n v="1"/>
    <n v="62744.044899999957"/>
    <n v="62744.044899999957"/>
    <n v="39525.573836559684"/>
    <n v="102269.61873655964"/>
    <n v="223.2"/>
    <n v="85.8"/>
    <n v="16188"/>
    <n v="1296.6719330855017"/>
    <m/>
    <n v="1229.7832800399992"/>
    <m/>
    <n v="909.78865104999943"/>
    <n v="618.53079462419964"/>
    <m/>
    <n v="621.16604450999967"/>
    <n v="31.372022449999978"/>
    <m/>
    <n v="3890.1307837999975"/>
    <n v="14431.130326999992"/>
  </r>
  <r>
    <s v="DMC093"/>
    <s v="Accounting Technician II"/>
    <s v="@00669209"/>
    <s v="Rodriguez, Priscilla"/>
    <s v="410"/>
    <n v="4"/>
    <s v="C"/>
    <s v="CA"/>
    <s v="A"/>
    <n v="1"/>
    <n v="100"/>
    <n v="1"/>
    <x v="4"/>
    <s v="122BS7"/>
    <x v="0"/>
    <s v="2191"/>
    <s v="672000"/>
    <m/>
    <m/>
    <n v="1"/>
    <n v="47820"/>
    <n v="47820"/>
    <n v="34356.511493085505"/>
    <n v="82176.511493085505"/>
    <n v="223.2"/>
    <n v="85.8"/>
    <n v="16188"/>
    <n v="1296.6719330855017"/>
    <m/>
    <n v="937.27199999999993"/>
    <m/>
    <n v="693.39"/>
    <n v="471.40956"/>
    <m/>
    <n v="473.41800000000006"/>
    <n v="23.91"/>
    <m/>
    <n v="2964.84"/>
    <n v="10998.6"/>
  </r>
  <r>
    <s v="DMC094"/>
    <s v="Institutional Research Analyst"/>
    <s v="@00691884"/>
    <s v="Sarabia Ortiz, Rachel R."/>
    <s v="500"/>
    <n v="5"/>
    <s v="C"/>
    <s v="CA"/>
    <s v="A"/>
    <n v="1"/>
    <n v="100"/>
    <n v="1"/>
    <x v="4"/>
    <s v="10AIR1"/>
    <x v="5"/>
    <s v="2191"/>
    <s v="679000"/>
    <m/>
    <m/>
    <n v="1"/>
    <n v="76447.570000000007"/>
    <n v="76447.570000000007"/>
    <n v="44168.468440145502"/>
    <n v="120616.03844014551"/>
    <n v="223.2"/>
    <n v="85.8"/>
    <n v="16188"/>
    <n v="1296.6719330855017"/>
    <m/>
    <n v="1498.372372"/>
    <m/>
    <n v="1108.4897650000003"/>
    <n v="753.62014506000014"/>
    <m/>
    <n v="653.40000000000009"/>
    <n v="38.223785000000007"/>
    <m/>
    <n v="4739.7493400000003"/>
    <n v="17582.941100000004"/>
  </r>
  <r>
    <s v="DMC098"/>
    <s v="Enterprise Res Plan Analyst I"/>
    <s v="@00254317"/>
    <s v="Carrizales, Candy"/>
    <s v="515"/>
    <n v="9"/>
    <s v="C"/>
    <s v="CA"/>
    <s v="A"/>
    <n v="1"/>
    <n v="100"/>
    <n v="1"/>
    <x v="4"/>
    <s v="132EA0"/>
    <x v="4"/>
    <s v="2191"/>
    <s v="678000"/>
    <m/>
    <m/>
    <n v="1"/>
    <n v="90872.04"/>
    <n v="90872.04"/>
    <n v="49021.696767405498"/>
    <n v="139893.7367674055"/>
    <n v="223.2"/>
    <n v="85.8"/>
    <n v="16188"/>
    <n v="1296.6719330855017"/>
    <m/>
    <n v="1781.0919839999999"/>
    <m/>
    <n v="1317.6445799999999"/>
    <n v="895.81657031999998"/>
    <m/>
    <n v="653.40000000000009"/>
    <n v="45.436019999999999"/>
    <m/>
    <n v="5634.0664799999995"/>
    <n v="20900.569199999998"/>
  </r>
  <r>
    <s v="DMC100"/>
    <s v="Systems Administrator"/>
    <s v="@00438182"/>
    <s v="Tusaw, Dana"/>
    <s v="525"/>
    <n v="9"/>
    <s v="C"/>
    <s v="CA"/>
    <s v="A"/>
    <n v="1"/>
    <n v="100"/>
    <n v="1"/>
    <x v="4"/>
    <s v="133II0"/>
    <x v="4"/>
    <s v="2191"/>
    <s v="678000"/>
    <m/>
    <m/>
    <n v="1"/>
    <n v="95472.431000000041"/>
    <n v="95472.431000000041"/>
    <n v="50749.535122483518"/>
    <n v="146221.96612248354"/>
    <n v="223.2"/>
    <n v="85.8"/>
    <n v="16188"/>
    <n v="1296.6719330855017"/>
    <n v="180"/>
    <n v="1871.2596476000008"/>
    <m/>
    <n v="1384.3502495000007"/>
    <n v="941.16722479800046"/>
    <m/>
    <n v="653.40000000000009"/>
    <n v="47.736215500000021"/>
    <m/>
    <n v="5919.2907220000025"/>
    <n v="21958.659130000011"/>
  </r>
  <r>
    <s v="DMC105"/>
    <s v="Accounting Technician II"/>
    <m/>
    <m/>
    <m/>
    <m/>
    <s v="C"/>
    <s v="CA"/>
    <s v="A"/>
    <n v="1"/>
    <m/>
    <m/>
    <x v="4"/>
    <s v="122BS7"/>
    <x v="0"/>
    <s v="2191"/>
    <s v="672000"/>
    <m/>
    <m/>
    <n v="1"/>
    <n v="46653.72"/>
    <n v="46653.72"/>
    <n v="33952.561084845504"/>
    <n v="80606.281084845512"/>
    <n v="223.2"/>
    <n v="85.8"/>
    <n v="16188"/>
    <n v="1296.6719330855017"/>
    <m/>
    <n v="914.41291200000001"/>
    <m/>
    <n v="676.47894000000008"/>
    <n v="459.91237176000004"/>
    <m/>
    <n v="461.87182800000005"/>
    <n v="23.32686"/>
    <m/>
    <n v="2892.5306399999999"/>
    <n v="10730.355600000001"/>
  </r>
  <r>
    <s v="DMC108"/>
    <s v="Department Assistant III"/>
    <s v="@00682287"/>
    <s v="Fisher, Johanna G."/>
    <s v="380"/>
    <n v="3"/>
    <s v="C"/>
    <s v="CA"/>
    <s v="A"/>
    <n v="1"/>
    <n v="100"/>
    <n v="1"/>
    <x v="4"/>
    <s v="145HR3"/>
    <x v="3"/>
    <s v="2191"/>
    <s v="673000"/>
    <m/>
    <m/>
    <n v="1"/>
    <n v="40229.279999999999"/>
    <n v="40229.279999999999"/>
    <n v="31727.404895325504"/>
    <n v="71956.68489532551"/>
    <n v="223.2"/>
    <n v="85.8"/>
    <n v="16188"/>
    <n v="1296.6719330855017"/>
    <m/>
    <n v="788.49388799999997"/>
    <m/>
    <n v="583.32456000000002"/>
    <n v="396.58024224000002"/>
    <m/>
    <n v="398.26987200000002"/>
    <n v="20.114640000000001"/>
    <m/>
    <n v="2494.2153599999997"/>
    <n v="9252.7343999999994"/>
  </r>
  <r>
    <s v="DMC111"/>
    <s v="Custodian I"/>
    <s v="@00500488"/>
    <s v="Hernandez, Veronica"/>
    <s v="315"/>
    <n v="11"/>
    <s v="C"/>
    <s v="CA"/>
    <s v="A"/>
    <n v="1"/>
    <n v="100"/>
    <n v="1"/>
    <x v="4"/>
    <s v="D01CO2"/>
    <x v="2"/>
    <s v="2191"/>
    <s v="653000"/>
    <m/>
    <m/>
    <n v="1"/>
    <n v="35556.839999999997"/>
    <n v="35556.839999999997"/>
    <n v="30109.067921805497"/>
    <n v="65665.907921805498"/>
    <n v="223.2"/>
    <n v="85.8"/>
    <n v="16188"/>
    <n v="1296.6719330855017"/>
    <m/>
    <n v="696.91406399999994"/>
    <m/>
    <n v="515.57417999999996"/>
    <n v="350.51932871999998"/>
    <m/>
    <n v="352.01271600000001"/>
    <n v="17.778419999999997"/>
    <m/>
    <n v="2204.5240799999997"/>
    <n v="8178.0731999999998"/>
  </r>
  <r>
    <s v="DMC117"/>
    <s v="Custodian I"/>
    <s v="@00523592"/>
    <s v="Barajas, Jose"/>
    <s v="315"/>
    <n v="11"/>
    <s v="C"/>
    <s v="CA"/>
    <s v="A"/>
    <n v="1"/>
    <n v="100"/>
    <n v="1"/>
    <x v="4"/>
    <s v="D01CO2"/>
    <x v="2"/>
    <s v="2191"/>
    <s v="653000"/>
    <m/>
    <m/>
    <n v="1"/>
    <n v="35556.839999999997"/>
    <n v="35556.839999999997"/>
    <n v="30109.067921805497"/>
    <n v="65665.907921805498"/>
    <n v="223.2"/>
    <n v="85.8"/>
    <n v="16188"/>
    <n v="1296.6719330855017"/>
    <m/>
    <n v="696.91406399999994"/>
    <m/>
    <n v="515.57417999999996"/>
    <n v="350.51932871999998"/>
    <m/>
    <n v="352.01271600000001"/>
    <n v="17.778419999999997"/>
    <m/>
    <n v="2204.5240799999997"/>
    <n v="8178.0731999999998"/>
  </r>
  <r>
    <s v="DMC120"/>
    <s v="Accounting Coordinator (COF)"/>
    <m/>
    <s v="Carlile, Danielle"/>
    <n v="465"/>
    <n v="1"/>
    <s v="C"/>
    <s v="CA"/>
    <s v="A"/>
    <n v="0"/>
    <n v="100"/>
    <n v="1"/>
    <x v="4"/>
    <s v="122BS2"/>
    <x v="0"/>
    <s v="2191"/>
    <s v="672000"/>
    <m/>
    <m/>
    <n v="1"/>
    <n v="58264.08"/>
    <n v="58264.08"/>
    <n v="37973.902153725503"/>
    <n v="96237.982153725505"/>
    <n v="223.2"/>
    <n v="85.8"/>
    <n v="16188"/>
    <n v="1296.6719330855017"/>
    <m/>
    <n v="1141.975968"/>
    <m/>
    <n v="844.82916000000012"/>
    <n v="574.36730064000005"/>
    <m/>
    <n v="576.81439200000011"/>
    <n v="29.13204"/>
    <m/>
    <n v="3612.3729600000001"/>
    <n v="13400.7384"/>
  </r>
  <r>
    <s v="DMC123"/>
    <s v="Purchasing Coordinator/Analyst"/>
    <s v="@00296579"/>
    <s v="Fore, Raquel D."/>
    <s v="490"/>
    <n v="4"/>
    <s v="C"/>
    <s v="CA"/>
    <s v="A"/>
    <n v="1"/>
    <n v="100"/>
    <n v="1"/>
    <x v="4"/>
    <s v="120BS1"/>
    <x v="0"/>
    <s v="2191"/>
    <s v="672000"/>
    <m/>
    <m/>
    <n v="1"/>
    <n v="70989.119999999995"/>
    <n v="70989.119999999995"/>
    <n v="42331.929270045497"/>
    <n v="113321.04927004549"/>
    <n v="223.2"/>
    <n v="85.8"/>
    <n v="16188"/>
    <n v="1296.6719330855017"/>
    <m/>
    <n v="1391.3867519999999"/>
    <m/>
    <n v="1029.3422399999999"/>
    <n v="699.81074495999997"/>
    <m/>
    <n v="653.40000000000009"/>
    <n v="35.49456"/>
    <m/>
    <n v="4401.3254399999996"/>
    <n v="16327.497599999999"/>
  </r>
  <r>
    <s v="DMC124"/>
    <s v="Network Engineer"/>
    <s v="@00520702"/>
    <s v="Lucero, Juan A."/>
    <s v="510"/>
    <n v="11"/>
    <s v="C"/>
    <s v="CA"/>
    <s v="A"/>
    <n v="1"/>
    <n v="100"/>
    <n v="1"/>
    <x v="4"/>
    <s v="133II0"/>
    <x v="4"/>
    <s v="2191"/>
    <s v="678000"/>
    <m/>
    <m/>
    <n v="1"/>
    <n v="93143.88"/>
    <n v="93143.88"/>
    <n v="49786.075510125505"/>
    <n v="142929.9555101255"/>
    <n v="223.2"/>
    <n v="85.8"/>
    <n v="16188"/>
    <n v="1296.6719330855017"/>
    <m/>
    <n v="1825.620048"/>
    <m/>
    <n v="1350.58626"/>
    <n v="918.21236904000011"/>
    <m/>
    <n v="653.40000000000009"/>
    <n v="46.571940000000005"/>
    <m/>
    <n v="5774.9205600000005"/>
    <n v="21423.092400000001"/>
  </r>
  <r>
    <s v="DMC126"/>
    <s v="Systems Support Specialist I"/>
    <s v="@00246023"/>
    <s v="Pryor, Karen L."/>
    <s v="445"/>
    <n v="15"/>
    <s v="C"/>
    <s v="CA"/>
    <s v="A"/>
    <n v="1"/>
    <n v="100"/>
    <n v="1"/>
    <x v="4"/>
    <s v="133II0"/>
    <x v="4"/>
    <s v="2191"/>
    <s v="678000"/>
    <m/>
    <m/>
    <n v="1"/>
    <n v="74582.880000000005"/>
    <n v="74582.880000000005"/>
    <n v="43721.078572125509"/>
    <n v="118303.95857212551"/>
    <n v="223.2"/>
    <n v="85.8"/>
    <n v="16188"/>
    <n v="1296.6719330855017"/>
    <n v="180"/>
    <n v="1461.8244480000001"/>
    <m/>
    <n v="1081.4517600000001"/>
    <n v="735.23803104000012"/>
    <m/>
    <n v="653.40000000000009"/>
    <n v="37.291440000000001"/>
    <m/>
    <n v="4624.1385600000003"/>
    <n v="17154.062400000003"/>
  </r>
  <r>
    <s v="DMC127"/>
    <s v="Cloud Application Engineer"/>
    <s v="@00256951"/>
    <s v="White, Joseph C."/>
    <s v="540"/>
    <n v="4"/>
    <s v="C"/>
    <s v="CA"/>
    <s v="A"/>
    <n v="1"/>
    <n v="100"/>
    <n v="1"/>
    <x v="4"/>
    <s v="132EA0"/>
    <x v="4"/>
    <s v="2191"/>
    <s v="678000"/>
    <m/>
    <m/>
    <n v="1"/>
    <n v="90872.04"/>
    <n v="90872.04"/>
    <n v="49021.696767405498"/>
    <n v="139893.7367674055"/>
    <n v="223.2"/>
    <n v="85.8"/>
    <n v="16188"/>
    <n v="1296.6719330855017"/>
    <m/>
    <n v="1781.0919839999999"/>
    <m/>
    <n v="1317.6445799999999"/>
    <n v="895.81657031999998"/>
    <m/>
    <n v="653.40000000000009"/>
    <n v="45.436019999999999"/>
    <m/>
    <n v="5634.0664799999995"/>
    <n v="20900.569199999998"/>
  </r>
  <r>
    <s v="DMC131"/>
    <s v="Human Resources Assistant"/>
    <s v="@00109804"/>
    <s v="Guzman, Cynthia E."/>
    <s v="425"/>
    <n v="5"/>
    <s v="C"/>
    <s v="CA"/>
    <s v="A"/>
    <n v="1"/>
    <n v="100"/>
    <n v="1"/>
    <x v="4"/>
    <s v="145HR5"/>
    <x v="3"/>
    <s v="2191"/>
    <s v="673000"/>
    <m/>
    <m/>
    <n v="1"/>
    <n v="52784.39"/>
    <n v="52784.39"/>
    <n v="36075.967684705502"/>
    <n v="88860.357684705494"/>
    <n v="223.2"/>
    <n v="85.8"/>
    <n v="16188"/>
    <n v="1296.6719330855017"/>
    <m/>
    <n v="1034.574044"/>
    <m/>
    <n v="765.37365499999999"/>
    <n v="520.34851662000005"/>
    <m/>
    <n v="522.56546100000003"/>
    <n v="26.392195000000001"/>
    <m/>
    <n v="3272.6321800000001"/>
    <n v="12140.4097"/>
  </r>
  <r>
    <s v="DMC132"/>
    <s v="Accounting Technician II"/>
    <s v="@00549179"/>
    <s v="Raguingan, Camela"/>
    <s v="410"/>
    <n v="2"/>
    <s v="C"/>
    <s v="CA"/>
    <s v="A"/>
    <n v="1"/>
    <n v="100"/>
    <n v="1"/>
    <x v="4"/>
    <s v="122BS5"/>
    <x v="0"/>
    <s v="2191"/>
    <s v="672000"/>
    <m/>
    <m/>
    <n v="1"/>
    <n v="45515.784800000038"/>
    <n v="45515.784800000038"/>
    <n v="33558.428124843915"/>
    <n v="79074.212924843945"/>
    <n v="223.2"/>
    <n v="85.8"/>
    <n v="16188"/>
    <n v="1296.6719330855017"/>
    <m/>
    <n v="892.10938208000073"/>
    <m/>
    <n v="659.9788796000006"/>
    <n v="448.69460655840038"/>
    <m/>
    <n v="450.60626952000041"/>
    <n v="22.757892400000021"/>
    <m/>
    <n v="2821.9786576000024"/>
    <n v="10468.63050400001"/>
  </r>
  <r>
    <s v="DMC134"/>
    <s v="Institutional Research Analyst"/>
    <s v="@00277994"/>
    <s v="Castro, Alexandro"/>
    <s v="500"/>
    <n v="7"/>
    <s v="C"/>
    <s v="CA"/>
    <s v="A"/>
    <n v="1"/>
    <n v="100"/>
    <n v="1"/>
    <x v="4"/>
    <s v="10AIR1"/>
    <x v="5"/>
    <s v="2191"/>
    <s v="679000"/>
    <m/>
    <m/>
    <n v="1"/>
    <n v="80317.679999999993"/>
    <n v="80317.679999999993"/>
    <n v="45470.597910525503"/>
    <n v="125788.2779105255"/>
    <n v="223.2"/>
    <n v="85.8"/>
    <n v="16188"/>
    <n v="1296.6719330855017"/>
    <m/>
    <n v="1574.2265279999999"/>
    <m/>
    <n v="1164.60636"/>
    <n v="791.77168943999993"/>
    <m/>
    <n v="653.40000000000009"/>
    <n v="40.158839999999998"/>
    <m/>
    <n v="4979.6961599999995"/>
    <n v="18473.0664"/>
  </r>
  <r>
    <s v="DMC135"/>
    <s v="Institutional Research Analyst"/>
    <s v="@00658581"/>
    <s v="Anderson, Amber D."/>
    <s v="500"/>
    <n v="7"/>
    <s v="C"/>
    <s v="CA"/>
    <s v="A"/>
    <n v="1"/>
    <n v="100"/>
    <n v="1"/>
    <x v="4"/>
    <s v="10AIR1"/>
    <x v="5"/>
    <s v="2191"/>
    <s v="679000"/>
    <m/>
    <m/>
    <n v="1"/>
    <n v="80317.73"/>
    <n v="80317.73"/>
    <n v="45470.614733425507"/>
    <n v="125788.3447334255"/>
    <n v="223.2"/>
    <n v="85.8"/>
    <n v="16188"/>
    <n v="1296.6719330855017"/>
    <m/>
    <n v="1574.2275079999999"/>
    <m/>
    <n v="1164.6070850000001"/>
    <n v="791.77218233999997"/>
    <m/>
    <n v="653.40000000000009"/>
    <n v="40.158864999999999"/>
    <m/>
    <n v="4979.6992599999994"/>
    <n v="18473.0779"/>
  </r>
  <r>
    <s v="DMC138"/>
    <s v="Data Warehouse Administrator"/>
    <s v="@00605436"/>
    <s v="Evans, Marsha"/>
    <s v="530"/>
    <n v="15"/>
    <s v="C"/>
    <s v="CA"/>
    <s v="A"/>
    <n v="1"/>
    <n v="100"/>
    <n v="1"/>
    <x v="4"/>
    <s v="132EA0"/>
    <x v="4"/>
    <s v="2191"/>
    <s v="678000"/>
    <m/>
    <m/>
    <n v="1"/>
    <n v="113486.76"/>
    <n v="113486.76"/>
    <n v="56630.600229165502"/>
    <n v="170117.3602291655"/>
    <n v="223.2"/>
    <n v="85.8"/>
    <n v="16188"/>
    <n v="1296.6719330855017"/>
    <m/>
    <n v="2224.3404959999998"/>
    <m/>
    <n v="1645.5580199999999"/>
    <n v="1118.7524800799999"/>
    <m/>
    <n v="653.40000000000009"/>
    <n v="56.743380000000002"/>
    <m/>
    <n v="7036.1791199999998"/>
    <n v="26101.9548"/>
  </r>
  <r>
    <s v="DMC139"/>
    <s v="Data Warehouse Developer"/>
    <s v="@00362044"/>
    <s v="Chavarria, Daniel S."/>
    <s v="515"/>
    <n v="3"/>
    <s v="C"/>
    <s v="CA"/>
    <s v="A"/>
    <n v="1"/>
    <n v="100"/>
    <n v="1"/>
    <x v="4"/>
    <s v="132EA0"/>
    <x v="4"/>
    <s v="2191"/>
    <s v="678000"/>
    <m/>
    <m/>
    <n v="1"/>
    <n v="78358.679999999993"/>
    <n v="78358.679999999993"/>
    <n v="44811.476688525509"/>
    <n v="123170.1566885255"/>
    <n v="223.2"/>
    <n v="85.8"/>
    <n v="16188"/>
    <n v="1296.6719330855017"/>
    <m/>
    <n v="1535.8301279999998"/>
    <m/>
    <n v="1136.2008599999999"/>
    <n v="772.45986743999993"/>
    <m/>
    <n v="653.40000000000009"/>
    <n v="39.179339999999996"/>
    <m/>
    <n v="4858.2381599999999"/>
    <n v="18022.4964"/>
  </r>
  <r>
    <s v="DMC140"/>
    <s v="Accounting Technician II"/>
    <s v="@00714371"/>
    <s v="Geary, Camellia"/>
    <s v="410"/>
    <n v="4"/>
    <s v="C"/>
    <s v="CA"/>
    <s v="A"/>
    <n v="1"/>
    <n v="100"/>
    <n v="1"/>
    <x v="4"/>
    <s v="122BS3"/>
    <x v="0"/>
    <s v="2191"/>
    <s v="672000"/>
    <m/>
    <m/>
    <n v="0.75"/>
    <n v="47820"/>
    <n v="35865"/>
    <n v="25767.383619814129"/>
    <n v="61632.383619814129"/>
    <n v="167.39999999999998"/>
    <n v="64.349999999999994"/>
    <n v="12141"/>
    <n v="972.50394981412626"/>
    <m/>
    <n v="702.95399999999995"/>
    <m/>
    <n v="520.04250000000002"/>
    <n v="353.55717000000004"/>
    <m/>
    <n v="355.06350000000003"/>
    <n v="17.932500000000001"/>
    <m/>
    <n v="2223.63"/>
    <n v="8248.9500000000007"/>
  </r>
  <r>
    <s v="DMC141"/>
    <s v="Human Resources Technician"/>
    <s v="@00366128"/>
    <s v="Quintero, Karla Y"/>
    <s v="435"/>
    <n v="6"/>
    <s v="C"/>
    <s v="CA"/>
    <s v="A"/>
    <n v="1"/>
    <n v="100"/>
    <n v="1"/>
    <x v="4"/>
    <s v="145HR3"/>
    <x v="3"/>
    <s v="2191"/>
    <s v="673000"/>
    <m/>
    <m/>
    <n v="1"/>
    <n v="56843.040000000001"/>
    <n v="56843.040000000001"/>
    <n v="37481.7135814055"/>
    <n v="94324.753581405501"/>
    <n v="223.2"/>
    <n v="85.8"/>
    <n v="16188"/>
    <n v="1296.6719330855017"/>
    <m/>
    <n v="1114.1235839999999"/>
    <m/>
    <n v="824.22408000000007"/>
    <n v="560.35868832000006"/>
    <m/>
    <n v="562.74609600000008"/>
    <n v="28.421520000000001"/>
    <m/>
    <n v="3524.2684800000002"/>
    <n v="13073.899200000002"/>
  </r>
  <r>
    <s v="DMC145"/>
    <s v="Human Resources Assistant"/>
    <s v="@00056918"/>
    <s v="Blanco, Trudi L."/>
    <s v="425"/>
    <n v="3"/>
    <s v="C"/>
    <s v="CA"/>
    <s v="A"/>
    <n v="1"/>
    <n v="100"/>
    <n v="1"/>
    <x v="4"/>
    <s v="145HR3"/>
    <x v="3"/>
    <s v="2191"/>
    <s v="673000"/>
    <m/>
    <m/>
    <n v="1"/>
    <n v="50240.88"/>
    <n v="50240.88"/>
    <n v="35195.002648125497"/>
    <n v="85435.882648125495"/>
    <n v="223.2"/>
    <n v="85.8"/>
    <n v="16188"/>
    <n v="1296.6719330855017"/>
    <m/>
    <n v="984.72124799999995"/>
    <m/>
    <n v="728.49275999999998"/>
    <n v="495.27459504000001"/>
    <m/>
    <n v="497.38471200000004"/>
    <n v="25.120439999999999"/>
    <m/>
    <n v="3114.9345599999997"/>
    <n v="11555.402399999999"/>
  </r>
  <r>
    <m/>
    <s v="Data Warehouse Developer"/>
    <m/>
    <s v="Vacant (Dave H)"/>
    <s v="515"/>
    <n v="3"/>
    <s v="C"/>
    <s v="CA"/>
    <s v="A"/>
    <n v="1"/>
    <n v="100"/>
    <n v="1"/>
    <x v="4"/>
    <s v="132EA0"/>
    <x v="4"/>
    <s v="2191"/>
    <s v="678000"/>
    <m/>
    <m/>
    <n v="1"/>
    <n v="78358.679999999993"/>
    <n v="78358.679999999993"/>
    <n v="44811.476688525509"/>
    <n v="123170.1566885255"/>
    <n v="223.2"/>
    <n v="85.8"/>
    <n v="16188"/>
    <n v="1296.6719330855017"/>
    <m/>
    <n v="1535.8301279999998"/>
    <m/>
    <n v="1136.2008599999999"/>
    <n v="772.45986743999993"/>
    <m/>
    <n v="653.40000000000009"/>
    <n v="39.179339999999996"/>
    <m/>
    <n v="4858.2381599999999"/>
    <n v="18022.4964"/>
  </r>
  <r>
    <m/>
    <s v="Web Developer"/>
    <m/>
    <s v="Vacant (Keith P)"/>
    <s v="515"/>
    <n v="3"/>
    <s v="C"/>
    <s v="CA"/>
    <s v="A"/>
    <n v="1"/>
    <n v="100"/>
    <n v="1"/>
    <x v="4"/>
    <s v="132EA0"/>
    <x v="4"/>
    <s v="2191"/>
    <s v="678000"/>
    <m/>
    <m/>
    <n v="1"/>
    <n v="78358.679999999993"/>
    <n v="78358.679999999993"/>
    <n v="44811.476688525509"/>
    <n v="123170.1566885255"/>
    <n v="223.2"/>
    <n v="85.8"/>
    <n v="16188"/>
    <n v="1296.6719330855017"/>
    <m/>
    <n v="1535.8301279999998"/>
    <m/>
    <n v="1136.2008599999999"/>
    <n v="772.45986743999993"/>
    <m/>
    <n v="653.40000000000009"/>
    <n v="39.179339999999996"/>
    <m/>
    <n v="4858.2381599999999"/>
    <n v="18022.4964"/>
  </r>
  <r>
    <s v="DMC147"/>
    <s v="Network Engineer"/>
    <s v="@00205536"/>
    <s v="Horton, Jeremy S."/>
    <s v="510"/>
    <n v="11"/>
    <s v="C"/>
    <s v="CA"/>
    <s v="A"/>
    <n v="1"/>
    <n v="100"/>
    <n v="1"/>
    <x v="4"/>
    <s v="133II0"/>
    <x v="4"/>
    <s v="2191"/>
    <s v="678000"/>
    <m/>
    <m/>
    <n v="1"/>
    <n v="93143.88"/>
    <n v="93143.88"/>
    <n v="49786.075510125505"/>
    <n v="142929.9555101255"/>
    <n v="223.2"/>
    <n v="85.8"/>
    <n v="16188"/>
    <n v="1296.6719330855017"/>
    <m/>
    <n v="1825.620048"/>
    <m/>
    <n v="1350.58626"/>
    <n v="918.21236904000011"/>
    <m/>
    <n v="653.40000000000009"/>
    <n v="46.571940000000005"/>
    <m/>
    <n v="5774.9205600000005"/>
    <n v="21423.092400000001"/>
  </r>
  <r>
    <s v="DMC150"/>
    <s v="Accounting Coordinator (COF)"/>
    <s v="@00518959"/>
    <s v="Platas, Maria L."/>
    <s v="465"/>
    <n v="2"/>
    <s v="C"/>
    <s v="CA"/>
    <s v="A"/>
    <n v="1"/>
    <n v="100"/>
    <n v="1"/>
    <x v="4"/>
    <s v="122BS2"/>
    <x v="0"/>
    <s v="2191"/>
    <s v="672000"/>
    <m/>
    <m/>
    <n v="1"/>
    <n v="59720.643399999964"/>
    <n v="59720.643399999964"/>
    <n v="38478.394539822686"/>
    <n v="98199.037939822651"/>
    <n v="223.2"/>
    <n v="85.8"/>
    <n v="16188"/>
    <n v="1296.6719330855017"/>
    <m/>
    <n v="1170.5246106399993"/>
    <m/>
    <n v="865.94932929999948"/>
    <n v="588.72610263719969"/>
    <m/>
    <n v="591.23436965999974"/>
    <n v="29.860321699999982"/>
    <m/>
    <n v="3702.6798907999978"/>
    <n v="13735.747981999992"/>
  </r>
  <r>
    <s v="DMC151"/>
    <s v="Systems Support Analyst"/>
    <s v="@00355096"/>
    <s v="Kuhn, Angelique G."/>
    <s v="475"/>
    <n v="3"/>
    <s v="C"/>
    <s v="CA"/>
    <s v="A"/>
    <n v="1"/>
    <n v="100"/>
    <n v="1"/>
    <x v="4"/>
    <s v="132EA0"/>
    <x v="4"/>
    <s v="2191"/>
    <s v="678000"/>
    <m/>
    <m/>
    <n v="1"/>
    <n v="64312.68"/>
    <n v="64312.68"/>
    <n v="40068.883152525501"/>
    <n v="104381.5631525255"/>
    <n v="223.2"/>
    <n v="85.8"/>
    <n v="16188"/>
    <n v="1296.6719330855017"/>
    <m/>
    <n v="1260.5285280000001"/>
    <m/>
    <n v="932.53386"/>
    <n v="633.99439944000005"/>
    <m/>
    <n v="636.69553200000007"/>
    <n v="32.15634"/>
    <m/>
    <n v="3987.38616"/>
    <n v="14791.9164"/>
  </r>
  <r>
    <s v="DMC157"/>
    <s v="Human Resources Assistant"/>
    <s v="@00657178"/>
    <s v="Martinez, Klautitsy V."/>
    <s v="425"/>
    <n v="3"/>
    <s v="C"/>
    <s v="CA"/>
    <s v="A"/>
    <n v="1"/>
    <n v="100"/>
    <n v="1"/>
    <x v="4"/>
    <s v="145HR4"/>
    <x v="3"/>
    <s v="2191"/>
    <s v="673000"/>
    <m/>
    <m/>
    <n v="1"/>
    <n v="50240.907599999999"/>
    <n v="50240.907599999999"/>
    <n v="35195.012207606298"/>
    <n v="85435.919807606289"/>
    <n v="223.2"/>
    <n v="85.8"/>
    <n v="16188"/>
    <n v="1296.6719330855017"/>
    <m/>
    <n v="984.72178895999991"/>
    <m/>
    <n v="728.49316020000003"/>
    <n v="495.27486712080002"/>
    <m/>
    <n v="497.38498524000005"/>
    <n v="25.1204538"/>
    <m/>
    <n v="3114.9362711999997"/>
    <n v="11555.408748"/>
  </r>
  <r>
    <s v="DMC158"/>
    <s v="Human Resources Assistant"/>
    <m/>
    <s v="Vacant (new)"/>
    <s v="425"/>
    <n v="3"/>
    <s v="C"/>
    <s v="CA"/>
    <s v="A"/>
    <n v="1"/>
    <n v="100"/>
    <n v="1"/>
    <x v="4"/>
    <s v="145HR4"/>
    <x v="3"/>
    <s v="2191"/>
    <s v="673000"/>
    <m/>
    <m/>
    <n v="1"/>
    <n v="50240.907599999999"/>
    <n v="50240.907599999999"/>
    <n v="35195.012207606298"/>
    <n v="85435.919807606289"/>
    <n v="223.2"/>
    <n v="85.8"/>
    <n v="16188"/>
    <n v="1296.6719330855017"/>
    <m/>
    <n v="984.72178895999991"/>
    <m/>
    <n v="728.49316020000003"/>
    <n v="495.27486712080002"/>
    <m/>
    <n v="497.38498524000005"/>
    <n v="25.1204538"/>
    <m/>
    <n v="3114.9362711999997"/>
    <n v="11555.408748"/>
  </r>
  <r>
    <s v="DMC159"/>
    <s v="Network Engineer"/>
    <s v="@00071282"/>
    <s v="Kelley, Justin K."/>
    <s v="510"/>
    <n v="5"/>
    <s v="C"/>
    <s v="CA"/>
    <s v="A"/>
    <n v="1"/>
    <n v="100"/>
    <n v="1"/>
    <x v="4"/>
    <s v="133II0"/>
    <x v="4"/>
    <s v="2191"/>
    <s v="678000"/>
    <m/>
    <m/>
    <n v="1"/>
    <n v="80317.679999999993"/>
    <n v="80317.679999999993"/>
    <n v="45470.597910525503"/>
    <n v="125788.2779105255"/>
    <n v="223.2"/>
    <n v="85.8"/>
    <n v="16188"/>
    <n v="1296.6719330855017"/>
    <m/>
    <n v="1574.2265279999999"/>
    <m/>
    <n v="1164.60636"/>
    <n v="791.77168943999993"/>
    <m/>
    <n v="653.40000000000009"/>
    <n v="40.158839999999998"/>
    <m/>
    <n v="4979.6961599999995"/>
    <n v="18473.0664"/>
  </r>
  <r>
    <s v="DMC160"/>
    <s v="Enterprise Res Plan Analyst I"/>
    <s v="@00650502"/>
    <s v="Michal, William"/>
    <s v="515"/>
    <n v="4"/>
    <s v="C"/>
    <s v="CA"/>
    <s v="A"/>
    <n v="1"/>
    <n v="100"/>
    <n v="1"/>
    <x v="4"/>
    <s v="132EA0"/>
    <x v="4"/>
    <s v="2191"/>
    <s v="678000"/>
    <m/>
    <m/>
    <n v="1"/>
    <n v="80317.679999999993"/>
    <n v="80317.679999999993"/>
    <n v="45470.597910525503"/>
    <n v="125788.2779105255"/>
    <n v="223.2"/>
    <n v="85.8"/>
    <n v="16188"/>
    <n v="1296.6719330855017"/>
    <m/>
    <n v="1574.2265279999999"/>
    <m/>
    <n v="1164.60636"/>
    <n v="791.77168943999993"/>
    <m/>
    <n v="653.40000000000009"/>
    <n v="40.158839999999998"/>
    <m/>
    <n v="4979.6961599999995"/>
    <n v="18473.0664"/>
  </r>
  <r>
    <s v="DMC161"/>
    <s v="Human Resources Technician"/>
    <s v="@00376520"/>
    <s v="Caballero, Judy M."/>
    <n v="435"/>
    <n v="1"/>
    <s v="C"/>
    <s v="CA"/>
    <s v="A"/>
    <n v="1"/>
    <n v="100"/>
    <n v="1"/>
    <x v="4"/>
    <s v="140HR0"/>
    <x v="3"/>
    <s v="2191"/>
    <s v="673000"/>
    <m/>
    <m/>
    <n v="1"/>
    <n v="52784.39"/>
    <n v="52784.39"/>
    <n v="36075.967684705502"/>
    <n v="88860.357684705494"/>
    <n v="223.2"/>
    <n v="85.8"/>
    <n v="16188"/>
    <n v="1296.6719330855017"/>
    <m/>
    <n v="1034.574044"/>
    <m/>
    <n v="765.37365499999999"/>
    <n v="520.34851662000005"/>
    <m/>
    <n v="522.56546100000003"/>
    <n v="26.392195000000001"/>
    <m/>
    <n v="3272.6321800000001"/>
    <n v="12140.4097"/>
  </r>
  <r>
    <s v="DMC163"/>
    <s v="Systems Support Specialist I"/>
    <m/>
    <s v="Vacant"/>
    <m/>
    <m/>
    <s v="C"/>
    <s v="CA"/>
    <s v="A"/>
    <n v="1"/>
    <m/>
    <m/>
    <x v="4"/>
    <s v="133II0"/>
    <x v="4"/>
    <s v="2191"/>
    <s v="678000"/>
    <m/>
    <m/>
    <n v="1"/>
    <n v="56843.040000000001"/>
    <n v="56843.040000000001"/>
    <n v="37481.7135814055"/>
    <n v="94324.753581405501"/>
    <n v="223.2"/>
    <n v="85.8"/>
    <n v="16188"/>
    <n v="1296.6719330855017"/>
    <m/>
    <n v="1114.1235839999999"/>
    <m/>
    <n v="824.22408000000007"/>
    <n v="560.35868832000006"/>
    <m/>
    <n v="562.74609600000008"/>
    <n v="28.421520000000001"/>
    <m/>
    <n v="3524.2684800000002"/>
    <n v="13073.899200000002"/>
  </r>
  <r>
    <s v="DMC164"/>
    <s v="Enterprise Res Plan Analyst I"/>
    <s v="@00720833"/>
    <s v="Bunk, Alvin"/>
    <s v="515"/>
    <n v="3"/>
    <s v="C"/>
    <s v="CA"/>
    <s v="A"/>
    <n v="1"/>
    <n v="100"/>
    <n v="1"/>
    <x v="4"/>
    <s v="132EA0"/>
    <x v="4"/>
    <s v="2191"/>
    <s v="678000"/>
    <m/>
    <m/>
    <n v="1"/>
    <n v="78358.679999999993"/>
    <n v="78358.679999999993"/>
    <n v="44811.476688525509"/>
    <n v="123170.1566885255"/>
    <n v="223.2"/>
    <n v="85.8"/>
    <n v="16188"/>
    <n v="1296.6719330855017"/>
    <m/>
    <n v="1535.8301279999998"/>
    <m/>
    <n v="1136.2008599999999"/>
    <n v="772.45986743999993"/>
    <m/>
    <n v="653.40000000000009"/>
    <n v="39.179339999999996"/>
    <m/>
    <n v="4858.2381599999999"/>
    <n v="18022.4964"/>
  </r>
  <r>
    <s v="DMC165"/>
    <s v="Accounting Coordinator"/>
    <s v="Vacant"/>
    <m/>
    <m/>
    <m/>
    <s v="C"/>
    <s v="CA"/>
    <s v="A"/>
    <n v="1"/>
    <m/>
    <m/>
    <x v="4"/>
    <s v="122BS2"/>
    <x v="0"/>
    <s v="2191"/>
    <s v="672000"/>
    <m/>
    <m/>
    <n v="0"/>
    <n v="0"/>
    <n v="0"/>
    <n v="0"/>
    <n v="0"/>
    <n v="0"/>
    <n v="0"/>
    <n v="0"/>
    <n v="0"/>
    <m/>
    <n v="0"/>
    <m/>
    <n v="0"/>
    <n v="0"/>
    <m/>
    <n v="0"/>
    <n v="0"/>
    <m/>
    <n v="0"/>
    <n v="0"/>
  </r>
  <r>
    <s v="DMC167"/>
    <s v="Payroll Specialist"/>
    <s v="@00554644"/>
    <s v="Olmos Herrera, Beatriz"/>
    <s v="455"/>
    <n v="2"/>
    <s v="C"/>
    <s v="CA"/>
    <s v="A"/>
    <n v="1"/>
    <n v="100"/>
    <n v="1"/>
    <x v="4"/>
    <s v="140HR8"/>
    <x v="3"/>
    <s v="2191"/>
    <s v="673000"/>
    <m/>
    <m/>
    <n v="1"/>
    <n v="56843.03"/>
    <n v="56843.03"/>
    <n v="37481.710117825503"/>
    <n v="94324.74011782551"/>
    <n v="223.2"/>
    <n v="85.8"/>
    <n v="16188"/>
    <n v="1296.6719330855017"/>
    <m/>
    <n v="1114.123388"/>
    <m/>
    <n v="824.22393499999998"/>
    <n v="560.35858974000007"/>
    <m/>
    <n v="562.74599699999999"/>
    <n v="28.421514999999999"/>
    <m/>
    <n v="3524.2678599999999"/>
    <n v="13073.8969"/>
  </r>
  <r>
    <s v="DMC168"/>
    <s v="Payroll Specialist"/>
    <s v="@00063312"/>
    <s v="Goin, Stephanie M."/>
    <s v="455"/>
    <n v="10"/>
    <s v="C"/>
    <s v="CA"/>
    <s v="A"/>
    <n v="1"/>
    <n v="100"/>
    <n v="1"/>
    <x v="4"/>
    <s v="140HR8"/>
    <x v="3"/>
    <s v="2191"/>
    <s v="673000"/>
    <m/>
    <m/>
    <n v="1"/>
    <n v="69257.64"/>
    <n v="69257.64"/>
    <n v="41749.358972205504"/>
    <n v="111006.9989722055"/>
    <n v="223.2"/>
    <n v="85.8"/>
    <n v="16188"/>
    <n v="1296.6719330855017"/>
    <m/>
    <n v="1357.449744"/>
    <m/>
    <n v="1004.2357800000001"/>
    <n v="682.74181512000007"/>
    <m/>
    <n v="653.40000000000009"/>
    <n v="34.628819999999997"/>
    <m/>
    <n v="4293.9736800000001"/>
    <n v="15929.2572"/>
  </r>
  <r>
    <s v="DMC169"/>
    <s v="Coordinator, Risk Mgmt &amp; Safet"/>
    <s v="@00003484"/>
    <s v="Shearer, Sheila J."/>
    <s v="490"/>
    <n v="9"/>
    <s v="C"/>
    <s v="CA"/>
    <s v="A"/>
    <n v="1"/>
    <n v="100"/>
    <n v="1"/>
    <x v="4"/>
    <s v="140HR6"/>
    <x v="3"/>
    <s v="2191"/>
    <s v="677050"/>
    <m/>
    <m/>
    <n v="1"/>
    <n v="80317.679999999993"/>
    <n v="80317.679999999993"/>
    <n v="45470.597910525503"/>
    <n v="125788.2779105255"/>
    <n v="223.2"/>
    <n v="85.8"/>
    <n v="16188"/>
    <n v="1296.6719330855017"/>
    <m/>
    <n v="1574.2265279999999"/>
    <m/>
    <n v="1164.60636"/>
    <n v="791.77168943999993"/>
    <m/>
    <n v="653.40000000000009"/>
    <n v="40.158839999999998"/>
    <m/>
    <n v="4979.6961599999995"/>
    <n v="18473.0664"/>
  </r>
  <r>
    <s v="DMC170"/>
    <s v="Security Engineer"/>
    <s v="@00217764"/>
    <s v="Ferree, Patrick R."/>
    <s v="535"/>
    <n v="8"/>
    <s v="C"/>
    <s v="CA"/>
    <s v="A"/>
    <n v="1"/>
    <n v="100"/>
    <n v="1"/>
    <x v="4"/>
    <s v="131IS0"/>
    <x v="4"/>
    <s v="2191"/>
    <s v="678000"/>
    <m/>
    <m/>
    <n v="1"/>
    <n v="97859.225799999957"/>
    <n v="97859.225799999957"/>
    <n v="51372.591327301896"/>
    <n v="149231.81712730185"/>
    <n v="223.2"/>
    <n v="85.8"/>
    <n v="16188"/>
    <n v="1296.6719330855017"/>
    <m/>
    <n v="1918.040825679999"/>
    <m/>
    <n v="1418.9587740999993"/>
    <n v="964.69624793639957"/>
    <m/>
    <n v="653.40000000000009"/>
    <n v="48.929612899999981"/>
    <m/>
    <n v="6067.2719995999969"/>
    <n v="22507.621933999992"/>
  </r>
  <r>
    <s v="DMC174"/>
    <s v="Department Assistant III"/>
    <s v="@00370396"/>
    <s v="Reyes Bonilla, Mayra A."/>
    <s v="380"/>
    <n v="2"/>
    <s v="C"/>
    <s v="CA"/>
    <s v="A"/>
    <n v="1"/>
    <n v="100"/>
    <n v="1"/>
    <x v="4"/>
    <s v="130IT0"/>
    <x v="4"/>
    <s v="2191"/>
    <s v="678000"/>
    <m/>
    <m/>
    <n v="1"/>
    <n v="39248.160000000003"/>
    <n v="39248.160000000003"/>
    <n v="31387.586134365505"/>
    <n v="70635.746134365501"/>
    <n v="223.2"/>
    <n v="85.8"/>
    <n v="16188"/>
    <n v="1296.6719330855017"/>
    <m/>
    <n v="769.26393600000006"/>
    <m/>
    <n v="569.09832000000006"/>
    <n v="386.90836128000007"/>
    <m/>
    <n v="388.55678400000005"/>
    <n v="19.624080000000003"/>
    <m/>
    <n v="2433.3859200000002"/>
    <n v="9027.0768000000007"/>
  </r>
  <r>
    <s v="DMC175"/>
    <s v="Enterprise Res Plan Analyst I"/>
    <m/>
    <s v="New Position"/>
    <m/>
    <m/>
    <m/>
    <s v="CA"/>
    <s v="A"/>
    <n v="0"/>
    <n v="100"/>
    <m/>
    <x v="4"/>
    <s v="132EA0"/>
    <x v="4"/>
    <s v="2191"/>
    <s v="678000"/>
    <m/>
    <m/>
    <n v="1"/>
    <n v="78358.679999999993"/>
    <n v="78358.679999999993"/>
    <n v="44811.476688525509"/>
    <n v="123170.1566885255"/>
    <n v="223.2"/>
    <n v="85.8"/>
    <n v="16188"/>
    <n v="1296.6719330855017"/>
    <m/>
    <n v="1535.8301279999998"/>
    <m/>
    <n v="1136.2008599999999"/>
    <n v="772.45986743999993"/>
    <m/>
    <n v="653.40000000000009"/>
    <n v="39.179339999999996"/>
    <m/>
    <n v="4858.2381599999999"/>
    <n v="18022.4964"/>
  </r>
  <r>
    <s v="DML001"/>
    <s v="Educational Services Asst."/>
    <s v="@00000486"/>
    <s v="Taylor, Denise A."/>
    <s v="C"/>
    <n v="11"/>
    <s v="M"/>
    <s v="M6"/>
    <s v="A"/>
    <n v="1"/>
    <n v="100"/>
    <n v="1"/>
    <x v="4"/>
    <s v="110ES1"/>
    <x v="1"/>
    <s v="2190"/>
    <s v="679000"/>
    <m/>
    <m/>
    <n v="1"/>
    <n v="79244.800000000003"/>
    <n v="79244.800000000003"/>
    <n v="45109.618851485502"/>
    <n v="124354.41885148551"/>
    <n v="223.2"/>
    <n v="85.8"/>
    <n v="16188"/>
    <n v="1296.6719330855017"/>
    <m/>
    <n v="1553.1980800000001"/>
    <m/>
    <n v="1149.0496000000001"/>
    <n v="781.19523840000011"/>
    <m/>
    <n v="653.40000000000009"/>
    <n v="39.622399999999999"/>
    <m/>
    <n v="4913.1776"/>
    <n v="18226.304"/>
  </r>
  <r>
    <s v="DML002"/>
    <s v="Human Resources Specialist"/>
    <s v="@00450182"/>
    <s v="Calderon, Amalia"/>
    <s v="E"/>
    <n v="2"/>
    <s v="M"/>
    <s v="M6"/>
    <s v="A"/>
    <n v="1"/>
    <n v="100"/>
    <n v="1"/>
    <x v="4"/>
    <s v="140HR0"/>
    <x v="3"/>
    <s v="2190"/>
    <s v="673000"/>
    <m/>
    <m/>
    <n v="1"/>
    <n v="73386.91"/>
    <n v="73386.91"/>
    <n v="43138.684897865503"/>
    <n v="116525.59489786551"/>
    <n v="223.2"/>
    <n v="85.8"/>
    <n v="16188"/>
    <n v="1296.6719330855017"/>
    <m/>
    <n v="1438.3834360000001"/>
    <m/>
    <n v="1064.1101950000002"/>
    <n v="723.44815878000009"/>
    <m/>
    <n v="653.40000000000009"/>
    <n v="36.693455"/>
    <m/>
    <n v="4549.9884200000006"/>
    <n v="16878.989300000001"/>
  </r>
  <r>
    <s v="DML003"/>
    <s v="Human Resources Specialist"/>
    <s v="@00032564"/>
    <s v="Duran, Virginia M."/>
    <s v="E"/>
    <n v="8"/>
    <s v="M"/>
    <s v="M6"/>
    <s v="A"/>
    <n v="1"/>
    <n v="100"/>
    <n v="1"/>
    <x v="4"/>
    <s v="140HR0"/>
    <x v="3"/>
    <s v="2190"/>
    <s v="673000"/>
    <m/>
    <m/>
    <n v="1"/>
    <n v="85106.32"/>
    <n v="85106.32"/>
    <n v="47081.774147645498"/>
    <n v="132188.09414764552"/>
    <n v="223.2"/>
    <n v="85.8"/>
    <n v="16188"/>
    <n v="1296.6719330855017"/>
    <m/>
    <n v="1668.0838720000002"/>
    <m/>
    <n v="1234.0416400000001"/>
    <n v="838.97810256000014"/>
    <m/>
    <n v="653.40000000000009"/>
    <n v="42.553160000000005"/>
    <m/>
    <n v="5276.59184"/>
    <n v="19574.453600000001"/>
  </r>
  <r>
    <s v="DML004"/>
    <s v="Business Services Assistant"/>
    <s v="@00522367"/>
    <s v="Kemp, Alexandria J."/>
    <s v="C"/>
    <n v="10"/>
    <s v="M"/>
    <s v="M6"/>
    <s v="A"/>
    <n v="1"/>
    <n v="100"/>
    <n v="1"/>
    <x v="4"/>
    <s v="120BS0"/>
    <x v="0"/>
    <s v="2190"/>
    <s v="672000"/>
    <m/>
    <m/>
    <n v="1"/>
    <n v="65039.9"/>
    <n v="65039.9"/>
    <n v="40320.761617285505"/>
    <n v="105360.66161728551"/>
    <n v="223.2"/>
    <n v="85.8"/>
    <n v="16188"/>
    <n v="1296.6719330855017"/>
    <m/>
    <n v="1274.7820400000001"/>
    <m/>
    <n v="943.07855000000006"/>
    <n v="641.16333420000001"/>
    <m/>
    <n v="643.89501000000007"/>
    <n v="32.519950000000001"/>
    <m/>
    <n v="4032.4738000000002"/>
    <n v="14959.177000000001"/>
  </r>
  <r>
    <s v="DML010"/>
    <s v="Admin. Asst., Human Resources"/>
    <s v="@00615673"/>
    <s v="Barnes, Mary L."/>
    <s v="C"/>
    <n v="6"/>
    <s v="M"/>
    <s v="M6"/>
    <s v="A"/>
    <n v="1"/>
    <n v="100"/>
    <n v="1"/>
    <x v="4"/>
    <s v="140HR0"/>
    <x v="3"/>
    <s v="2190"/>
    <s v="673000"/>
    <m/>
    <m/>
    <n v="1"/>
    <n v="70040.86"/>
    <n v="70040.86"/>
    <n v="42012.879606965507"/>
    <n v="112053.73960696551"/>
    <n v="223.2"/>
    <n v="85.8"/>
    <n v="16188"/>
    <n v="1296.6719330855017"/>
    <m/>
    <n v="1372.8008560000001"/>
    <m/>
    <n v="1015.59247"/>
    <n v="690.46279788000004"/>
    <m/>
    <n v="653.40000000000009"/>
    <n v="35.020429999999998"/>
    <m/>
    <n v="4342.5333200000005"/>
    <n v="16109.397800000001"/>
  </r>
  <r>
    <s v="DML011"/>
    <s v="Human Resources Specialist"/>
    <s v="@00277115"/>
    <s v="Gonzalez, Anna M."/>
    <s v="E"/>
    <n v="4"/>
    <s v="M"/>
    <s v="M6"/>
    <s v="A"/>
    <n v="1"/>
    <n v="100"/>
    <n v="1"/>
    <x v="4"/>
    <s v="140HR0"/>
    <x v="3"/>
    <s v="2190"/>
    <s v="673000"/>
    <m/>
    <m/>
    <n v="1"/>
    <n v="77102.12"/>
    <n v="77102.12"/>
    <n v="44388.697024045505"/>
    <n v="121490.81702404551"/>
    <n v="223.2"/>
    <n v="85.8"/>
    <n v="16188"/>
    <n v="1296.6719330855017"/>
    <m/>
    <n v="1511.2015519999998"/>
    <m/>
    <n v="1117.98074"/>
    <n v="760.07269896000003"/>
    <m/>
    <n v="653.40000000000009"/>
    <n v="38.55106"/>
    <m/>
    <n v="4780.3314399999999"/>
    <n v="17733.4876"/>
  </r>
  <r>
    <s v="DML016"/>
    <s v="Exec Asst, General Counsel"/>
    <s v="@00295882"/>
    <s v="Galindo, Suzanne M."/>
    <s v="E"/>
    <n v="12"/>
    <s v="M"/>
    <s v="M6"/>
    <s v="A"/>
    <n v="1"/>
    <n v="100"/>
    <n v="1"/>
    <x v="4"/>
    <s v="150LE0"/>
    <x v="6"/>
    <s v="2190"/>
    <s v="660030"/>
    <m/>
    <m/>
    <n v="1"/>
    <n v="93941.45"/>
    <n v="93941.45"/>
    <n v="50054.424317185505"/>
    <n v="143995.87431718549"/>
    <n v="223.2"/>
    <n v="85.8"/>
    <n v="16188"/>
    <n v="1296.6719330855017"/>
    <m/>
    <n v="1841.2524199999998"/>
    <m/>
    <n v="1362.1510250000001"/>
    <n v="926.07481410000003"/>
    <m/>
    <n v="653.40000000000009"/>
    <n v="46.970725000000002"/>
    <m/>
    <n v="5824.3698999999997"/>
    <n v="21606.533500000001"/>
  </r>
  <r>
    <s v="DMM001"/>
    <s v="Vice Chancellor, Educ Svcs"/>
    <s v="@00002848"/>
    <s v="Means, John M."/>
    <s v="M"/>
    <n v="8"/>
    <s v="M"/>
    <s v="M2"/>
    <s v="A"/>
    <n v="1"/>
    <n v="100"/>
    <n v="1"/>
    <x v="4"/>
    <s v="110ES1"/>
    <x v="1"/>
    <s v="1214"/>
    <s v="679000"/>
    <m/>
    <m/>
    <n v="1"/>
    <n v="195493.05"/>
    <n v="195493.05"/>
    <n v="58680.795509985503"/>
    <n v="254173.84550998549"/>
    <n v="223.2"/>
    <n v="85.8"/>
    <n v="16188"/>
    <n v="1296.6719330855017"/>
    <n v="420"/>
    <n v="3831.6637799999999"/>
    <m/>
    <n v="2834.6492250000001"/>
    <n v="1927.1704869"/>
    <m/>
    <n v="653.40000000000009"/>
    <n v="97.746524999999991"/>
    <n v="31122.493559999999"/>
    <m/>
    <m/>
  </r>
  <r>
    <s v="DMM004"/>
    <s v="Chancellor"/>
    <s v="@00004268"/>
    <s v="Burke, Thomas"/>
    <m/>
    <m/>
    <s v=""/>
    <m/>
    <s v="A"/>
    <n v="1"/>
    <n v="100"/>
    <n v="1"/>
    <x v="4"/>
    <s v="R00CO1"/>
    <x v="7"/>
    <n v="1214"/>
    <n v="660010"/>
    <m/>
    <m/>
    <n v="0.9"/>
    <n v="290000"/>
    <n v="261000"/>
    <n v="111311.72273977695"/>
    <n v="372311.72273977695"/>
    <n v="200.88"/>
    <n v="77.22"/>
    <n v="14569.2"/>
    <n v="1167.0047397769515"/>
    <m/>
    <n v="5115.5999999999995"/>
    <m/>
    <n v="3784.5"/>
    <n v="2572.9380000000001"/>
    <n v="15660"/>
    <n v="588.06000000000006"/>
    <n v="130.5"/>
    <m/>
    <n v="7415.82"/>
    <n v="60030"/>
  </r>
  <r>
    <s v="DMM004"/>
    <s v="Chancellor"/>
    <s v="@00004268"/>
    <s v="Burke, Thomas"/>
    <m/>
    <m/>
    <s v=""/>
    <m/>
    <s v="A"/>
    <n v="1"/>
    <n v="100"/>
    <n v="1"/>
    <x v="4"/>
    <s v="R00CO1"/>
    <x v="7"/>
    <n v="1214"/>
    <n v="711001"/>
    <m/>
    <m/>
    <n v="0.1"/>
    <n v="290000"/>
    <n v="29000"/>
    <n v="12367.969193308551"/>
    <n v="41367.969193308549"/>
    <n v="22.32"/>
    <n v="8.58"/>
    <n v="1618.8000000000002"/>
    <n v="129.66719330855017"/>
    <m/>
    <n v="568.4"/>
    <m/>
    <n v="420.5"/>
    <n v="285.88200000000001"/>
    <n v="1740"/>
    <n v="65.340000000000018"/>
    <n v="14.5"/>
    <m/>
    <n v="823.98"/>
    <n v="6670"/>
  </r>
  <r>
    <s v="DMM027"/>
    <s v="Assoc Vice Chan -Comm,Econ,WF"/>
    <s v="@00709065"/>
    <s v="Gerald, Gertrude G."/>
    <s v="L"/>
    <n v="9"/>
    <s v="M"/>
    <s v="M1"/>
    <s v="A"/>
    <n v="1"/>
    <n v="100"/>
    <n v="1"/>
    <x v="4"/>
    <s v="11BWD1"/>
    <x v="1"/>
    <s v="1214"/>
    <s v="679000"/>
    <m/>
    <m/>
    <n v="0.5"/>
    <n v="164225.01"/>
    <n v="82112.505000000005"/>
    <n v="35879.869863832755"/>
    <n v="117992.37486383275"/>
    <n v="111.6"/>
    <n v="42.9"/>
    <n v="8094"/>
    <n v="648.33596654275084"/>
    <m/>
    <n v="1609.405098"/>
    <m/>
    <n v="1190.6313225000001"/>
    <n v="809.46507429000008"/>
    <m/>
    <n v="326.70000000000005"/>
    <n v="41.056252500000006"/>
    <m/>
    <n v="4119.8999999999996"/>
    <n v="18885.876150000004"/>
  </r>
  <r>
    <s v="DMN003"/>
    <s v="Chief Financial Officer"/>
    <m/>
    <s v="Vacant"/>
    <s v="M"/>
    <n v="4"/>
    <s v="M"/>
    <s v="M2"/>
    <s v="A"/>
    <n v="1"/>
    <n v="100"/>
    <n v="1"/>
    <x v="4"/>
    <s v="R20BS1"/>
    <x v="8"/>
    <s v="2110"/>
    <s v="672000"/>
    <m/>
    <m/>
    <n v="1"/>
    <n v="177107.05"/>
    <n v="177107.05"/>
    <n v="75295.318661985511"/>
    <n v="252402.3686619855"/>
    <n v="223.2"/>
    <n v="85.8"/>
    <n v="16188"/>
    <n v="1296.6719330855017"/>
    <m/>
    <n v="3471.2981799999998"/>
    <m/>
    <n v="2568.0522249999999"/>
    <n v="1745.9212989"/>
    <m/>
    <n v="653.40000000000009"/>
    <n v="88.553524999999993"/>
    <m/>
    <n v="8239.7999999999993"/>
    <n v="40734.621500000001"/>
  </r>
  <r>
    <s v="DMN004"/>
    <s v="Accounting Manager - BC"/>
    <s v="@00407862"/>
    <s v="Morales, Christine"/>
    <s v="G"/>
    <n v="12"/>
    <s v="M"/>
    <s v="M2"/>
    <s v="A"/>
    <n v="1"/>
    <n v="100"/>
    <n v="1"/>
    <x v="4"/>
    <s v="122BS3"/>
    <x v="0"/>
    <s v="2110"/>
    <s v="672000"/>
    <m/>
    <m/>
    <n v="1"/>
    <n v="111930.39"/>
    <n v="111930.39"/>
    <n v="56106.9470917055"/>
    <n v="168037.3370917055"/>
    <n v="223.2"/>
    <n v="85.8"/>
    <n v="16188"/>
    <n v="1296.6719330855017"/>
    <m/>
    <n v="2193.8356439999998"/>
    <m/>
    <n v="1622.9906550000001"/>
    <n v="1103.40978462"/>
    <m/>
    <n v="653.40000000000009"/>
    <n v="55.965195000000001"/>
    <m/>
    <n v="6939.6841800000002"/>
    <n v="25743.989700000002"/>
  </r>
  <r>
    <s v="DMN005"/>
    <s v="Dir, Accounting Services"/>
    <s v="@00567102"/>
    <s v="Feichter, Carlene L."/>
    <s v="K"/>
    <n v="9"/>
    <s v="M"/>
    <s v="M2"/>
    <s v="A"/>
    <n v="1"/>
    <n v="100"/>
    <n v="1"/>
    <x v="4"/>
    <s v="120BS0"/>
    <x v="0"/>
    <s v="2110"/>
    <s v="672000"/>
    <m/>
    <m/>
    <n v="1"/>
    <n v="142169.29"/>
    <n v="142169.29"/>
    <n v="65706.370927905504"/>
    <n v="207875.66092790553"/>
    <n v="223.2"/>
    <n v="85.8"/>
    <n v="16188"/>
    <n v="1296.6719330855017"/>
    <m/>
    <n v="2786.5180840000003"/>
    <m/>
    <n v="2061.4547050000001"/>
    <n v="1401.5048608200002"/>
    <m/>
    <n v="653.40000000000009"/>
    <n v="71.084645000000009"/>
    <m/>
    <n v="8239.7999999999993"/>
    <n v="32698.936700000002"/>
  </r>
  <r>
    <s v="DMN012"/>
    <s v="Vice Chancellor, HR"/>
    <m/>
    <s v="Vacant"/>
    <s v="M"/>
    <n v="8"/>
    <s v="M"/>
    <s v="M2"/>
    <s v="A"/>
    <n v="1"/>
    <n v="100"/>
    <n v="1"/>
    <x v="4"/>
    <s v="140HR0"/>
    <x v="3"/>
    <s v="2110"/>
    <s v="673000"/>
    <m/>
    <m/>
    <n v="1"/>
    <n v="195493.05"/>
    <n v="195493.05"/>
    <n v="80341.503449985496"/>
    <n v="275834.55344998545"/>
    <n v="223.2"/>
    <n v="85.8"/>
    <n v="16188"/>
    <n v="1296.6719330855017"/>
    <m/>
    <n v="3831.6637799999999"/>
    <m/>
    <n v="2834.6492250000001"/>
    <n v="1927.1704869"/>
    <m/>
    <n v="653.40000000000009"/>
    <n v="97.746524999999991"/>
    <m/>
    <n v="8239.7999999999993"/>
    <n v="44963.4015"/>
  </r>
  <r>
    <s v="DMN016"/>
    <s v="Dir, Research Analysis &amp; Rptg"/>
    <s v="@00680314"/>
    <s v="Ngo, Quan M."/>
    <s v="K"/>
    <n v="3"/>
    <s v="M"/>
    <s v="M2"/>
    <s v="A"/>
    <n v="1"/>
    <n v="100"/>
    <n v="1"/>
    <x v="4"/>
    <s v="10AIR1"/>
    <x v="5"/>
    <s v="2110"/>
    <s v="679000"/>
    <m/>
    <m/>
    <n v="1"/>
    <n v="122592.14"/>
    <n v="122592.14"/>
    <n v="59694.178173205502"/>
    <n v="182286.31817320551"/>
    <n v="223.2"/>
    <n v="85.8"/>
    <n v="16188"/>
    <n v="1296.6719330855017"/>
    <m/>
    <n v="2402.8059439999997"/>
    <m/>
    <n v="1777.5860300000002"/>
    <n v="1208.5133161200001"/>
    <m/>
    <n v="653.40000000000009"/>
    <n v="61.29607"/>
    <m/>
    <n v="7600.7126799999996"/>
    <n v="28196.192200000001"/>
  </r>
  <r>
    <s v="DMN018"/>
    <s v="Payroll Manager"/>
    <s v="@00003678"/>
    <s v="McAbee, Kimberly D."/>
    <s v="G"/>
    <n v="6"/>
    <s v="M"/>
    <s v="M2"/>
    <s v="A"/>
    <n v="1"/>
    <n v="100"/>
    <n v="1"/>
    <x v="4"/>
    <s v="140HR8"/>
    <x v="3"/>
    <s v="2110"/>
    <s v="673000"/>
    <m/>
    <m/>
    <n v="1"/>
    <n v="96517.23"/>
    <n v="96517.23"/>
    <n v="50921.066104425496"/>
    <n v="147438.29610442551"/>
    <n v="223.2"/>
    <n v="85.8"/>
    <n v="16188"/>
    <n v="1296.6719330855017"/>
    <m/>
    <n v="1891.7377079999999"/>
    <m/>
    <n v="1399.4998350000001"/>
    <n v="951.46685334000006"/>
    <m/>
    <n v="653.40000000000009"/>
    <n v="48.258614999999999"/>
    <m/>
    <n v="5984.06826"/>
    <n v="22198.962899999999"/>
  </r>
  <r>
    <s v="DMN019"/>
    <s v="Assistant Dir, HR"/>
    <s v="@00229958"/>
    <s v="Rhoades, Dena R."/>
    <s v="H"/>
    <n v="9"/>
    <s v="M"/>
    <s v="M2"/>
    <s v="A"/>
    <n v="1"/>
    <n v="100"/>
    <n v="1"/>
    <x v="4"/>
    <s v="145HR3"/>
    <x v="3"/>
    <s v="2110"/>
    <s v="673000"/>
    <m/>
    <m/>
    <n v="1"/>
    <n v="114898.51"/>
    <n v="114898.51"/>
    <n v="57105.594810665498"/>
    <n v="172004.10481066548"/>
    <n v="223.2"/>
    <n v="85.8"/>
    <n v="16188"/>
    <n v="1296.6719330855017"/>
    <m/>
    <n v="2252.010796"/>
    <m/>
    <n v="1666.028395"/>
    <n v="1132.6695115800001"/>
    <m/>
    <n v="653.40000000000009"/>
    <n v="57.449255000000001"/>
    <m/>
    <n v="7123.7076199999992"/>
    <n v="26426.657299999999"/>
  </r>
  <r>
    <s v="DMN020"/>
    <s v="College HR Manager-PC"/>
    <m/>
    <s v="Vacant"/>
    <s v="G"/>
    <n v="8"/>
    <s v="M"/>
    <s v="M2"/>
    <s v="A"/>
    <n v="1"/>
    <n v="100"/>
    <n v="1"/>
    <x v="4"/>
    <s v="145HR4"/>
    <x v="3"/>
    <s v="2110"/>
    <s v="673000"/>
    <m/>
    <m/>
    <n v="1"/>
    <n v="101403.41"/>
    <n v="101403.41"/>
    <n v="52565.060454865503"/>
    <n v="153968.47045486551"/>
    <n v="223.2"/>
    <n v="85.8"/>
    <n v="16188"/>
    <n v="1296.6719330855017"/>
    <m/>
    <n v="1987.506836"/>
    <m/>
    <n v="1470.3494450000001"/>
    <n v="999.63481578000005"/>
    <m/>
    <n v="653.40000000000009"/>
    <n v="50.701705000000004"/>
    <m/>
    <n v="6287.0114199999998"/>
    <n v="23322.784300000003"/>
  </r>
  <r>
    <s v="DMN022"/>
    <s v="Building Facility Manager"/>
    <s v="@00241649"/>
    <s v="Birdwell, Don C."/>
    <s v="E"/>
    <n v="6"/>
    <s v="M"/>
    <s v="M2"/>
    <s v="A"/>
    <n v="1"/>
    <n v="100"/>
    <n v="1"/>
    <x v="4"/>
    <s v="D01CO2"/>
    <x v="2"/>
    <s v="2110"/>
    <s v="651000"/>
    <m/>
    <m/>
    <n v="1"/>
    <n v="81005.42"/>
    <n v="81005.42"/>
    <n v="45701.993535445508"/>
    <n v="126707.41353544551"/>
    <n v="223.2"/>
    <n v="85.8"/>
    <n v="16188"/>
    <n v="1296.6719330855017"/>
    <m/>
    <n v="1587.706232"/>
    <m/>
    <n v="1174.5785900000001"/>
    <n v="798.55143036000004"/>
    <m/>
    <n v="653.40000000000009"/>
    <n v="40.50271"/>
    <m/>
    <n v="5022.3360400000001"/>
    <n v="18631.246600000002"/>
  </r>
  <r>
    <s v="DMN023"/>
    <s v="Director, Human Resources"/>
    <m/>
    <s v="Recruiting"/>
    <s v="K"/>
    <n v="4"/>
    <s v="M"/>
    <s v="M2"/>
    <s v="A"/>
    <n v="1"/>
    <n v="100"/>
    <n v="1"/>
    <x v="4"/>
    <s v="140HR0"/>
    <x v="3"/>
    <s v="2110"/>
    <s v="673000"/>
    <m/>
    <m/>
    <n v="1"/>
    <n v="125656.94"/>
    <n v="125656.94"/>
    <n v="60725.354651605507"/>
    <n v="186382.29465160551"/>
    <n v="223.2"/>
    <n v="85.8"/>
    <n v="16188"/>
    <n v="1296.6719330855017"/>
    <m/>
    <n v="2462.8760240000001"/>
    <m/>
    <n v="1822.0256300000001"/>
    <n v="1238.72611452"/>
    <m/>
    <n v="653.40000000000009"/>
    <n v="62.828470000000003"/>
    <m/>
    <n v="7790.7302799999998"/>
    <n v="28901.096200000004"/>
  </r>
  <r>
    <s v="DMN024"/>
    <s v="College HR Manager-CC"/>
    <s v="@00098174"/>
    <s v="Hess, Resa H."/>
    <s v="G"/>
    <n v="10"/>
    <s v="M"/>
    <s v="M2"/>
    <s v="A"/>
    <n v="1"/>
    <n v="100"/>
    <n v="1"/>
    <x v="4"/>
    <s v="145HR5"/>
    <x v="3"/>
    <s v="2110"/>
    <s v="673000"/>
    <m/>
    <m/>
    <n v="1"/>
    <n v="106536.96000000001"/>
    <n v="106536.96000000001"/>
    <n v="54292.2844207655"/>
    <n v="160829.24442076549"/>
    <n v="223.2"/>
    <n v="85.8"/>
    <n v="16188"/>
    <n v="1296.6719330855017"/>
    <m/>
    <n v="2088.1244160000001"/>
    <m/>
    <n v="1544.7859200000003"/>
    <n v="1050.2413516800002"/>
    <m/>
    <n v="653.40000000000009"/>
    <n v="53.268480000000004"/>
    <m/>
    <n v="6605.2915200000007"/>
    <n v="24503.500800000002"/>
  </r>
  <r>
    <s v="DMN028"/>
    <s v="Accounting Manager - CC"/>
    <s v="@00058074"/>
    <s v="Rock, Rebecca L."/>
    <s v="G"/>
    <n v="5"/>
    <s v="M"/>
    <s v="M2"/>
    <s v="A"/>
    <n v="1"/>
    <n v="100"/>
    <n v="1"/>
    <x v="4"/>
    <s v="122BS5"/>
    <x v="0"/>
    <s v="2110"/>
    <s v="672000"/>
    <m/>
    <m/>
    <n v="1"/>
    <n v="94163.15"/>
    <n v="94163.15"/>
    <n v="50129.017055785502"/>
    <n v="144292.16705578548"/>
    <n v="223.2"/>
    <n v="85.8"/>
    <n v="16188"/>
    <n v="1296.6719330855017"/>
    <m/>
    <n v="1845.5977399999999"/>
    <m/>
    <n v="1365.365675"/>
    <n v="928.26033269999994"/>
    <m/>
    <n v="653.40000000000009"/>
    <n v="47.081575000000001"/>
    <m/>
    <n v="5838.1152999999995"/>
    <n v="21657.5245"/>
  </r>
  <r>
    <s v="DMN029"/>
    <s v="Accounting Manager"/>
    <s v="@00671844"/>
    <s v="Blakemore, Tracy C."/>
    <s v="G"/>
    <n v="7"/>
    <s v="M"/>
    <s v="M2"/>
    <s v="A"/>
    <n v="1"/>
    <n v="100"/>
    <n v="1"/>
    <x v="4"/>
    <s v="122BS7"/>
    <x v="0"/>
    <s v="2110"/>
    <s v="672000"/>
    <m/>
    <m/>
    <n v="1"/>
    <n v="98930.16"/>
    <n v="98930.16"/>
    <n v="51732.915706365515"/>
    <n v="150663.07570636552"/>
    <n v="223.2"/>
    <n v="85.8"/>
    <n v="16188"/>
    <n v="1296.6719330855017"/>
    <m/>
    <n v="1939.0311360000001"/>
    <m/>
    <n v="1434.4873200000002"/>
    <n v="975.2535172800001"/>
    <m/>
    <n v="653.40000000000009"/>
    <n v="49.46508"/>
    <m/>
    <n v="6133.6699200000003"/>
    <n v="22753.936800000003"/>
  </r>
  <r>
    <s v="DMN030"/>
    <s v="Accounting Manager - PC"/>
    <s v="@00621333"/>
    <s v="Kerwin, Kevin M."/>
    <s v="G"/>
    <n v="4"/>
    <s v="M"/>
    <s v="M2"/>
    <s v="A"/>
    <n v="1"/>
    <n v="100"/>
    <n v="1"/>
    <x v="4"/>
    <s v="122BS4"/>
    <x v="0"/>
    <s v="2110"/>
    <s v="672000"/>
    <m/>
    <m/>
    <n v="1"/>
    <n v="91866.48"/>
    <n v="91866.48"/>
    <n v="49356.284060925507"/>
    <n v="141222.76406092552"/>
    <n v="223.2"/>
    <n v="85.8"/>
    <n v="16188"/>
    <n v="1296.6719330855017"/>
    <m/>
    <n v="1800.5830079999998"/>
    <m/>
    <n v="1332.06396"/>
    <n v="905.61975984000003"/>
    <m/>
    <n v="653.40000000000009"/>
    <n v="45.933239999999998"/>
    <m/>
    <n v="5695.7217599999994"/>
    <n v="21129.290400000002"/>
  </r>
  <r>
    <s v="DMN034"/>
    <s v="Dir_Grants_Resources Dev"/>
    <s v="@00648365"/>
    <s v="Miller-Galaz, Michelle"/>
    <s v="I"/>
    <n v="1"/>
    <s v="M"/>
    <s v="M2"/>
    <s v="A"/>
    <n v="1"/>
    <n v="100"/>
    <n v="1"/>
    <x v="4"/>
    <s v="110ES1"/>
    <x v="1"/>
    <s v="2110"/>
    <s v="679000"/>
    <m/>
    <m/>
    <n v="1"/>
    <n v="102704.39"/>
    <n v="102704.39"/>
    <n v="44105.949617162754"/>
    <n v="146810.33961716277"/>
    <n v="111.6"/>
    <n v="42.9"/>
    <n v="8094"/>
    <n v="648.33596654275084"/>
    <m/>
    <n v="2013.006044"/>
    <m/>
    <n v="1489.213655"/>
    <n v="1012.45987662"/>
    <m/>
    <n v="653.40000000000009"/>
    <n v="51.352195000000002"/>
    <m/>
    <n v="6367.6721799999996"/>
    <n v="23622.009700000002"/>
  </r>
  <r>
    <s v="DMN038"/>
    <s v="Executive Assistant"/>
    <s v="@00511332"/>
    <s v="Hillard-Adams, Danielle K."/>
    <s v="F"/>
    <n v="11"/>
    <s v="M"/>
    <s v="M2"/>
    <s v="A"/>
    <n v="1"/>
    <n v="100"/>
    <n v="1"/>
    <x v="4"/>
    <s v="D01CO2"/>
    <x v="2"/>
    <s v="2110"/>
    <s v="660010"/>
    <m/>
    <m/>
    <n v="1"/>
    <n v="104772.96"/>
    <n v="104772.96"/>
    <n v="53698.772508765513"/>
    <n v="158471.73250876553"/>
    <n v="223.2"/>
    <n v="85.8"/>
    <n v="16188"/>
    <n v="1296.6719330855017"/>
    <m/>
    <n v="2053.5500160000001"/>
    <m/>
    <n v="1519.2079200000001"/>
    <n v="1032.85183968"/>
    <m/>
    <n v="653.40000000000009"/>
    <n v="52.386480000000006"/>
    <m/>
    <n v="6495.9235200000003"/>
    <n v="24097.780800000004"/>
  </r>
  <r>
    <s v="DMN039"/>
    <s v="General Counsel"/>
    <s v="@00545453"/>
    <s v="Hine, Christopher W."/>
    <s v="M"/>
    <n v="11"/>
    <s v="M"/>
    <s v="M2"/>
    <s v="A"/>
    <n v="1"/>
    <n v="100"/>
    <n v="1"/>
    <x v="4"/>
    <s v="150LE0"/>
    <x v="6"/>
    <s v="2110"/>
    <s v="660030"/>
    <m/>
    <m/>
    <n v="1"/>
    <n v="210524.63"/>
    <n v="210524.63"/>
    <n v="84467.040833625506"/>
    <n v="294991.67083362548"/>
    <n v="223.2"/>
    <n v="85.8"/>
    <n v="16188"/>
    <n v="1296.6719330855017"/>
    <m/>
    <n v="4126.2827479999996"/>
    <m/>
    <n v="3052.6071350000002"/>
    <n v="2075.3518025400003"/>
    <m/>
    <n v="653.40000000000009"/>
    <n v="105.262315"/>
    <m/>
    <n v="8239.7999999999993"/>
    <n v="48420.664900000003"/>
  </r>
  <r>
    <s v="DMN042"/>
    <s v="IT Customer Support Op Manager"/>
    <s v="@00658448"/>
    <s v="Mondragon, Hernando"/>
    <s v="G"/>
    <n v="4"/>
    <s v="M"/>
    <s v="M2"/>
    <s v="A"/>
    <n v="1"/>
    <n v="100"/>
    <n v="1"/>
    <x v="4"/>
    <s v="133II0"/>
    <x v="4"/>
    <s v="2110"/>
    <s v="678000"/>
    <m/>
    <m/>
    <n v="1"/>
    <n v="91866.48"/>
    <n v="91866.48"/>
    <n v="49356.284060925507"/>
    <n v="141222.76406092552"/>
    <n v="223.2"/>
    <n v="85.8"/>
    <n v="16188"/>
    <n v="1296.6719330855017"/>
    <m/>
    <n v="1800.5830079999998"/>
    <m/>
    <n v="1332.06396"/>
    <n v="905.61975984000003"/>
    <m/>
    <n v="653.40000000000009"/>
    <n v="45.933239999999998"/>
    <m/>
    <n v="5695.7217599999994"/>
    <n v="21129.290400000002"/>
  </r>
  <r>
    <s v="DMN053"/>
    <s v="Exec Dir-Risk Assmnt &amp; Mgt"/>
    <s v="@00006644"/>
    <s v="Grubbs, Joseph E."/>
    <s v="J"/>
    <n v="6"/>
    <s v="M"/>
    <s v="M2"/>
    <s v="A"/>
    <n v="1"/>
    <n v="100"/>
    <n v="1"/>
    <x v="4"/>
    <s v="140HR6"/>
    <x v="3"/>
    <s v="2110"/>
    <s v="677050"/>
    <m/>
    <m/>
    <n v="1"/>
    <n v="124351.96"/>
    <n v="124351.96"/>
    <n v="60286.283690765507"/>
    <n v="184638.24369076552"/>
    <n v="223.2"/>
    <n v="85.8"/>
    <n v="16188"/>
    <n v="1296.6719330855017"/>
    <m/>
    <n v="2437.2984160000001"/>
    <m/>
    <n v="1803.1034200000001"/>
    <n v="1225.8616216800001"/>
    <m/>
    <n v="653.40000000000009"/>
    <n v="62.175980000000003"/>
    <m/>
    <n v="7709.8215200000004"/>
    <n v="28600.950800000002"/>
  </r>
  <r>
    <s v="DMN054"/>
    <s v="Director, IT security"/>
    <s v="@00627631"/>
    <s v="Alexander, Steven M."/>
    <s v="K"/>
    <n v="9"/>
    <s v="M"/>
    <s v="M2"/>
    <s v="A"/>
    <n v="1"/>
    <n v="100"/>
    <n v="1"/>
    <x v="4"/>
    <s v="131IS0"/>
    <x v="4"/>
    <s v="2110"/>
    <s v="678000"/>
    <m/>
    <m/>
    <n v="1"/>
    <n v="142169.29"/>
    <n v="142169.29"/>
    <n v="65706.370927905504"/>
    <n v="207875.66092790553"/>
    <n v="223.2"/>
    <n v="85.8"/>
    <n v="16188"/>
    <n v="1296.6719330855017"/>
    <m/>
    <n v="2786.5180840000003"/>
    <m/>
    <n v="2061.4547050000001"/>
    <n v="1401.5048608200002"/>
    <m/>
    <n v="653.40000000000009"/>
    <n v="71.084645000000009"/>
    <m/>
    <n v="8239.7999999999993"/>
    <n v="32698.936700000002"/>
  </r>
  <r>
    <s v="DMN055"/>
    <s v="Manager-IT Enterprise Projects"/>
    <m/>
    <m/>
    <m/>
    <m/>
    <s v="M"/>
    <s v="M2"/>
    <s v="A"/>
    <n v="0"/>
    <m/>
    <m/>
    <x v="4"/>
    <s v="160OP0"/>
    <x v="9"/>
    <s v="2110"/>
    <s v="678000"/>
    <m/>
    <m/>
    <n v="0"/>
    <m/>
    <n v="0"/>
    <n v="0"/>
    <n v="0"/>
    <m/>
    <m/>
    <m/>
    <n v="0"/>
    <m/>
    <n v="0"/>
    <m/>
    <n v="0"/>
    <n v="0"/>
    <m/>
    <n v="0"/>
    <n v="0"/>
    <m/>
    <n v="0"/>
    <n v="0"/>
  </r>
  <r>
    <s v="DMN062"/>
    <s v="Director, Programs &amp; Complianc"/>
    <s v="@00006798"/>
    <s v="Steele, Bonita"/>
    <s v="I"/>
    <n v="10"/>
    <s v="M"/>
    <s v="M2"/>
    <s v="A"/>
    <n v="1"/>
    <n v="100"/>
    <n v="1"/>
    <x v="4"/>
    <s v="11BA01"/>
    <x v="1"/>
    <s v="2110"/>
    <s v="679000"/>
    <m/>
    <m/>
    <n v="1"/>
    <n v="128263.71"/>
    <n v="128263.71"/>
    <n v="61602.423272265507"/>
    <n v="189866.13327226552"/>
    <n v="223.2"/>
    <n v="85.8"/>
    <n v="16188"/>
    <n v="1296.6719330855017"/>
    <m/>
    <n v="2513.9687159999999"/>
    <m/>
    <n v="1859.8237950000002"/>
    <n v="1264.4236531800002"/>
    <m/>
    <n v="653.40000000000009"/>
    <n v="64.131855000000002"/>
    <m/>
    <n v="7952.3500200000008"/>
    <n v="29500.653300000002"/>
  </r>
  <r>
    <s v="DMN063"/>
    <s v="Director, Enterprise Applctns"/>
    <s v="@00265950"/>
    <s v="Barnett, David R."/>
    <s v="I"/>
    <n v="12"/>
    <s v="M"/>
    <s v="M2"/>
    <s v="A"/>
    <n v="1"/>
    <n v="100"/>
    <n v="1"/>
    <x v="4"/>
    <s v="132EA0"/>
    <x v="4"/>
    <s v="2110"/>
    <s v="678000"/>
    <m/>
    <m/>
    <n v="1"/>
    <n v="134757.07"/>
    <n v="134757.07"/>
    <n v="63672.027851145496"/>
    <n v="198429.09785114549"/>
    <n v="223.2"/>
    <n v="85.8"/>
    <n v="16188"/>
    <n v="1296.6719330855017"/>
    <m/>
    <n v="2641.2385720000002"/>
    <m/>
    <n v="1953.9775150000003"/>
    <n v="1328.4351960600002"/>
    <m/>
    <n v="653.40000000000009"/>
    <n v="67.378534999999999"/>
    <m/>
    <n v="8239.7999999999993"/>
    <n v="30994.126100000001"/>
  </r>
  <r>
    <s v="DMN065"/>
    <s v="Chief Information Officer"/>
    <s v="@00630702"/>
    <s v="Moser, Gary"/>
    <s v="M"/>
    <n v="9"/>
    <s v="M"/>
    <s v="M2"/>
    <s v="A"/>
    <n v="1"/>
    <n v="100"/>
    <n v="1"/>
    <x v="4"/>
    <s v="130IT0"/>
    <x v="4"/>
    <s v="2110"/>
    <s v="678000"/>
    <m/>
    <m/>
    <n v="1"/>
    <n v="200380.37"/>
    <n v="200380.37"/>
    <n v="81682.867522545508"/>
    <n v="282063.2375225455"/>
    <n v="223.2"/>
    <n v="85.8"/>
    <n v="16188"/>
    <n v="1296.6719330855017"/>
    <m/>
    <n v="3927.4552519999997"/>
    <m/>
    <n v="2905.5153650000002"/>
    <n v="1975.34968746"/>
    <m/>
    <n v="653.40000000000009"/>
    <n v="100.190185"/>
    <m/>
    <n v="8239.7999999999993"/>
    <n v="46087.485099999998"/>
  </r>
  <r>
    <s v="DMN066"/>
    <s v="Assoc Dir, Enterprise Applctns"/>
    <s v="@00357519"/>
    <s v="Kegley, Stephen L."/>
    <s v="H"/>
    <n v="10"/>
    <s v="M"/>
    <s v="M2"/>
    <s v="A"/>
    <n v="1"/>
    <n v="100"/>
    <n v="1"/>
    <x v="4"/>
    <s v="132EA0"/>
    <x v="4"/>
    <s v="2110"/>
    <s v="678000"/>
    <m/>
    <m/>
    <n v="1"/>
    <n v="117770.98"/>
    <n v="117770.98"/>
    <n v="58072.060321925499"/>
    <n v="175843.04032192548"/>
    <n v="223.2"/>
    <n v="85.8"/>
    <n v="16188"/>
    <n v="1296.6719330855017"/>
    <m/>
    <n v="2308.3112079999996"/>
    <m/>
    <n v="1707.67921"/>
    <n v="1160.98632084"/>
    <m/>
    <n v="653.40000000000009"/>
    <n v="58.885489999999997"/>
    <m/>
    <n v="7301.8007600000001"/>
    <n v="27087.325400000002"/>
  </r>
  <r>
    <s v="DMN067"/>
    <s v="Director of IT Infrastructure"/>
    <s v="@00002837"/>
    <s v="Alvarado, Eddie D."/>
    <s v="I"/>
    <n v="12"/>
    <s v="M"/>
    <s v="M2"/>
    <s v="A"/>
    <n v="1"/>
    <n v="100"/>
    <n v="1"/>
    <x v="4"/>
    <s v="133II0"/>
    <x v="4"/>
    <s v="2110"/>
    <s v="678000"/>
    <m/>
    <m/>
    <n v="1"/>
    <n v="134757.07"/>
    <n v="134757.07"/>
    <n v="63852.027851145504"/>
    <n v="198609.09785114552"/>
    <n v="223.2"/>
    <n v="85.8"/>
    <n v="16188"/>
    <n v="1296.6719330855017"/>
    <n v="180"/>
    <n v="2641.2385720000002"/>
    <m/>
    <n v="1953.9775150000003"/>
    <n v="1328.4351960600002"/>
    <m/>
    <n v="653.40000000000009"/>
    <n v="67.378534999999999"/>
    <m/>
    <n v="8239.7999999999993"/>
    <n v="30994.126100000001"/>
  </r>
  <r>
    <s v="DMN070"/>
    <s v="Accounting Manager"/>
    <s v="@00025957"/>
    <s v="Jacob, Cathi S."/>
    <s v="G"/>
    <n v="5"/>
    <s v="M"/>
    <s v="M2"/>
    <s v="A"/>
    <n v="1"/>
    <n v="100"/>
    <n v="1"/>
    <x v="4"/>
    <s v="122BS2"/>
    <x v="0"/>
    <s v="2110"/>
    <s v="672000"/>
    <m/>
    <m/>
    <n v="1"/>
    <n v="94163.15"/>
    <n v="94163.15"/>
    <n v="50129.017055785502"/>
    <n v="144292.16705578548"/>
    <n v="223.2"/>
    <n v="85.8"/>
    <n v="16188"/>
    <n v="1296.6719330855017"/>
    <m/>
    <n v="1845.5977399999999"/>
    <m/>
    <n v="1365.365675"/>
    <n v="928.26033269999994"/>
    <m/>
    <n v="653.40000000000009"/>
    <n v="47.081575000000001"/>
    <m/>
    <n v="5838.1152999999995"/>
    <n v="21657.5245"/>
  </r>
  <r>
    <s v="DMN071"/>
    <s v="Purchasing &amp; Contracts Manager"/>
    <s v="@00511882"/>
    <s v="Ehret-Stevens, Cammie"/>
    <s v="F"/>
    <n v="2"/>
    <s v="M"/>
    <s v="M2"/>
    <s v="A"/>
    <n v="1"/>
    <n v="100"/>
    <n v="1"/>
    <x v="4"/>
    <s v="120BS1"/>
    <x v="0"/>
    <s v="2110"/>
    <s v="672000"/>
    <m/>
    <m/>
    <n v="1"/>
    <n v="83894.68"/>
    <n v="83894.68"/>
    <n v="46674.108176525493"/>
    <n v="130568.78817652549"/>
    <n v="223.2"/>
    <n v="85.8"/>
    <n v="16188"/>
    <n v="1296.6719330855017"/>
    <m/>
    <n v="1644.3357279999998"/>
    <m/>
    <n v="1216.4728599999999"/>
    <n v="827.03375543999994"/>
    <m/>
    <n v="653.40000000000009"/>
    <n v="41.947339999999997"/>
    <m/>
    <n v="5201.4701599999999"/>
    <n v="19295.776399999999"/>
  </r>
  <r>
    <s v="New Position"/>
    <s v="Budget Analyst"/>
    <m/>
    <m/>
    <s v="G"/>
    <n v="1"/>
    <s v="M"/>
    <s v="M2"/>
    <s v="A"/>
    <n v="1"/>
    <n v="100"/>
    <n v="1"/>
    <x v="4"/>
    <s v="120BS0"/>
    <x v="0"/>
    <n v="2110"/>
    <n v="672000"/>
    <m/>
    <m/>
    <n v="1"/>
    <n v="82325.64"/>
    <n v="82325.64"/>
    <n v="46146.192116205508"/>
    <n v="128471.83211620551"/>
    <n v="223.2"/>
    <n v="85.8"/>
    <n v="16188"/>
    <n v="1296.6719330855017"/>
    <m/>
    <n v="1613.5825439999999"/>
    <m/>
    <n v="1193.7217800000001"/>
    <n v="811.56615912000007"/>
    <m/>
    <n v="653.40000000000009"/>
    <n v="41.162820000000004"/>
    <m/>
    <n v="5104.1896799999995"/>
    <n v="18934.897199999999"/>
  </r>
  <r>
    <s v="DMR002"/>
    <s v="Classified Hourly"/>
    <s v="@00000301"/>
    <s v="Strough, Terry L."/>
    <s v="310"/>
    <n v="2"/>
    <s v="C"/>
    <s v="CK"/>
    <s v="A"/>
    <n v="0"/>
    <n v="100"/>
    <n v="1"/>
    <x v="4"/>
    <s v="R01BT1"/>
    <x v="7"/>
    <s v="2399"/>
    <s v="660020"/>
    <s v="DTL001"/>
    <m/>
    <n v="0"/>
    <n v="0"/>
    <n v="0"/>
    <n v="0"/>
    <n v="0"/>
    <m/>
    <m/>
    <m/>
    <n v="0"/>
    <m/>
    <n v="0"/>
    <m/>
    <n v="0"/>
    <n v="0"/>
    <m/>
    <n v="0"/>
    <n v="0"/>
    <m/>
    <n v="0"/>
    <n v="0"/>
  </r>
  <r>
    <s v="DTC031"/>
    <s v="Accounting Coordinator - TEMP"/>
    <s v="@00030684"/>
    <s v="Batchelder, Ann"/>
    <s v="465"/>
    <n v="1"/>
    <s v="C"/>
    <s v="CK"/>
    <s v="A"/>
    <n v="0"/>
    <n v="100"/>
    <n v="0"/>
    <x v="4"/>
    <s v="122BS2"/>
    <x v="0"/>
    <s v="2399"/>
    <s v="672000"/>
    <m/>
    <m/>
    <n v="0"/>
    <m/>
    <n v="0"/>
    <n v="0"/>
    <n v="0"/>
    <m/>
    <m/>
    <m/>
    <n v="0"/>
    <m/>
    <n v="0"/>
    <m/>
    <n v="0"/>
    <n v="0"/>
    <m/>
    <n v="0"/>
    <n v="0"/>
    <m/>
    <n v="0"/>
    <n v="0"/>
  </r>
  <r>
    <s v="DTC034"/>
    <s v="Accounting Tech. II-TEMP"/>
    <s v="@00144488"/>
    <s v="Duffel, Debbie L."/>
    <s v="410"/>
    <n v="1"/>
    <s v="C"/>
    <s v="CK"/>
    <s v="A"/>
    <n v="0"/>
    <n v="100"/>
    <n v="0"/>
    <x v="4"/>
    <s v="122BS3"/>
    <x v="0"/>
    <s v="2399"/>
    <s v="672000"/>
    <m/>
    <m/>
    <n v="0"/>
    <m/>
    <n v="0"/>
    <n v="0"/>
    <n v="0"/>
    <m/>
    <m/>
    <m/>
    <n v="0"/>
    <m/>
    <n v="0"/>
    <m/>
    <n v="0"/>
    <n v="0"/>
    <m/>
    <n v="0"/>
    <n v="0"/>
    <m/>
    <n v="0"/>
    <n v="0"/>
  </r>
  <r>
    <s v="DMT001"/>
    <s v="Board Member"/>
    <s v="@00077219"/>
    <s v="Agbalog, Romeo V."/>
    <m/>
    <m/>
    <s v="T"/>
    <s v="T0"/>
    <s v="A"/>
    <n v="1"/>
    <n v="100"/>
    <n v="1"/>
    <x v="4"/>
    <s v="R01BT1"/>
    <x v="7"/>
    <n v="2110"/>
    <n v="660020"/>
    <m/>
    <m/>
    <n v="1"/>
    <n v="3600"/>
    <n v="3600"/>
    <n v="17989.360733085501"/>
    <n v="21589.360733085501"/>
    <n v="223.2"/>
    <n v="85.8"/>
    <n v="16188"/>
    <n v="1296.6719330855017"/>
    <m/>
    <n v="70.56"/>
    <m/>
    <n v="52.2"/>
    <n v="35.488800000000005"/>
    <m/>
    <n v="35.64"/>
    <n v="1.8"/>
    <m/>
    <m/>
    <m/>
  </r>
  <r>
    <s v="DMT003"/>
    <s v="Board Member"/>
    <s v="@00004076"/>
    <s v="Meek, Kay S."/>
    <m/>
    <m/>
    <s v="T"/>
    <s v="T0"/>
    <s v="A"/>
    <n v="1"/>
    <n v="100"/>
    <n v="1"/>
    <x v="4"/>
    <s v="R01BT1"/>
    <x v="7"/>
    <n v="2110"/>
    <n v="660020"/>
    <m/>
    <m/>
    <n v="1"/>
    <n v="3600"/>
    <n v="3600"/>
    <n v="17989.360733085501"/>
    <n v="21589.360733085501"/>
    <n v="223.2"/>
    <n v="85.8"/>
    <n v="16188"/>
    <n v="1296.6719330855017"/>
    <m/>
    <n v="70.56"/>
    <m/>
    <n v="52.2"/>
    <n v="35.488800000000005"/>
    <m/>
    <n v="35.64"/>
    <n v="1.8"/>
    <m/>
    <m/>
    <m/>
  </r>
  <r>
    <s v="DMT004"/>
    <s v="Board Member"/>
    <s v="@00343762"/>
    <s v="Corkins, John S."/>
    <m/>
    <m/>
    <s v="T"/>
    <s v="T0"/>
    <s v="A"/>
    <n v="1"/>
    <n v="100"/>
    <n v="1"/>
    <x v="4"/>
    <s v="R01BT1"/>
    <x v="7"/>
    <n v="2110"/>
    <n v="660020"/>
    <m/>
    <m/>
    <n v="1"/>
    <n v="3600"/>
    <n v="3600"/>
    <n v="17989.360733085501"/>
    <n v="21589.360733085501"/>
    <n v="223.2"/>
    <n v="85.8"/>
    <n v="16188"/>
    <n v="1296.6719330855017"/>
    <m/>
    <n v="70.56"/>
    <m/>
    <n v="52.2"/>
    <n v="35.488800000000005"/>
    <m/>
    <n v="35.64"/>
    <n v="1.8"/>
    <m/>
    <m/>
    <m/>
  </r>
  <r>
    <s v="DMT005"/>
    <s v="Board Member"/>
    <s v="@00002100"/>
    <s v="Gomez-Heitzberg, Nan"/>
    <m/>
    <m/>
    <s v="T"/>
    <s v="T0"/>
    <s v="A"/>
    <n v="1"/>
    <n v="100"/>
    <n v="1"/>
    <x v="4"/>
    <s v="R01BT1"/>
    <x v="7"/>
    <n v="2110"/>
    <n v="660020"/>
    <m/>
    <m/>
    <n v="1"/>
    <n v="3600"/>
    <n v="3600"/>
    <n v="17989.360733085501"/>
    <n v="21589.360733085501"/>
    <n v="223.2"/>
    <n v="85.8"/>
    <n v="16188"/>
    <n v="1296.6719330855017"/>
    <m/>
    <n v="70.56"/>
    <m/>
    <n v="52.2"/>
    <n v="35.488800000000005"/>
    <m/>
    <n v="35.64"/>
    <n v="1.8"/>
    <m/>
    <m/>
    <m/>
  </r>
  <r>
    <s v="DMT006"/>
    <s v="Board Member"/>
    <s v="@00568705"/>
    <s v="Storch, Mark G."/>
    <m/>
    <m/>
    <s v="T"/>
    <s v="T0"/>
    <s v="A"/>
    <n v="1"/>
    <n v="100"/>
    <n v="1"/>
    <x v="4"/>
    <s v="R01BT1"/>
    <x v="7"/>
    <n v="2110"/>
    <n v="660020"/>
    <m/>
    <m/>
    <n v="1"/>
    <n v="3600"/>
    <n v="3600"/>
    <n v="17989.360733085501"/>
    <n v="21589.360733085501"/>
    <n v="223.2"/>
    <n v="85.8"/>
    <n v="16188"/>
    <n v="1296.6719330855017"/>
    <m/>
    <n v="70.56"/>
    <m/>
    <n v="52.2"/>
    <n v="35.488800000000005"/>
    <m/>
    <n v="35.64"/>
    <n v="1.8"/>
    <m/>
    <m/>
    <m/>
  </r>
  <r>
    <s v="DMT007"/>
    <s v="Board Member"/>
    <s v="@00594135"/>
    <s v="Carter, Kyle"/>
    <m/>
    <m/>
    <s v="T"/>
    <s v="T0"/>
    <s v="A"/>
    <n v="1"/>
    <n v="100"/>
    <n v="1"/>
    <x v="4"/>
    <s v="R01BT1"/>
    <x v="7"/>
    <n v="2110"/>
    <n v="660020"/>
    <m/>
    <m/>
    <n v="1"/>
    <n v="3600"/>
    <n v="3600"/>
    <n v="17989.360733085501"/>
    <n v="21589.360733085501"/>
    <n v="223.2"/>
    <n v="85.8"/>
    <n v="16188"/>
    <n v="1296.6719330855017"/>
    <m/>
    <n v="70.56"/>
    <m/>
    <n v="52.2"/>
    <n v="35.488800000000005"/>
    <m/>
    <n v="35.64"/>
    <n v="1.8"/>
    <m/>
    <m/>
    <m/>
  </r>
  <r>
    <s v="DMT008"/>
    <s v="Board Member"/>
    <m/>
    <s v="Jimenez, Yovani"/>
    <m/>
    <m/>
    <s v="T"/>
    <s v="T0"/>
    <s v="A"/>
    <n v="1"/>
    <n v="100"/>
    <n v="1"/>
    <x v="4"/>
    <s v="R01BT1"/>
    <x v="7"/>
    <n v="2110"/>
    <n v="660020"/>
    <m/>
    <m/>
    <n v="1"/>
    <n v="3600"/>
    <n v="3600"/>
    <n v="17989.360733085501"/>
    <n v="21589.360733085501"/>
    <n v="223.2"/>
    <n v="85.8"/>
    <n v="16188"/>
    <n v="1296.6719330855017"/>
    <m/>
    <n v="70.56"/>
    <m/>
    <n v="52.2"/>
    <n v="35.488800000000005"/>
    <m/>
    <n v="35.64"/>
    <n v="1.8"/>
    <m/>
    <m/>
    <m/>
  </r>
  <r>
    <s v="DSUB19"/>
    <s v="Classified Hourly-Substitute"/>
    <m/>
    <m/>
    <m/>
    <m/>
    <s v="C"/>
    <s v="CK"/>
    <s v="A"/>
    <n v="0"/>
    <m/>
    <m/>
    <x v="4"/>
    <s v="122BS3"/>
    <x v="0"/>
    <s v="2399"/>
    <s v="672000"/>
    <s v="DTL001"/>
    <m/>
    <n v="0"/>
    <m/>
    <n v="0"/>
    <n v="0"/>
    <n v="0"/>
    <m/>
    <m/>
    <m/>
    <n v="0"/>
    <m/>
    <n v="0"/>
    <m/>
    <n v="0"/>
    <n v="0"/>
    <m/>
    <n v="0"/>
    <n v="0"/>
    <m/>
    <n v="0"/>
    <n v="0"/>
  </r>
  <r>
    <s v="DSUB20"/>
    <s v="Classified Hourly- Substitute"/>
    <m/>
    <m/>
    <m/>
    <m/>
    <s v="C"/>
    <s v="CK"/>
    <s v="A"/>
    <n v="1"/>
    <m/>
    <m/>
    <x v="4"/>
    <s v="122BS7"/>
    <x v="0"/>
    <s v="2399"/>
    <s v="672000"/>
    <m/>
    <m/>
    <n v="0"/>
    <m/>
    <n v="0"/>
    <n v="0"/>
    <n v="0"/>
    <m/>
    <m/>
    <m/>
    <n v="0"/>
    <m/>
    <n v="0"/>
    <m/>
    <n v="0"/>
    <n v="0"/>
    <m/>
    <n v="0"/>
    <n v="0"/>
    <m/>
    <n v="0"/>
    <n v="0"/>
  </r>
  <r>
    <s v="DMC116"/>
    <s v="Accounting Coordinator"/>
    <s v="@00355529"/>
    <s v="Cisneros, Rafaela T."/>
    <s v="465"/>
    <n v="14"/>
    <s v="C"/>
    <s v="CA"/>
    <s v="A"/>
    <n v="1"/>
    <n v="100"/>
    <n v="1"/>
    <x v="5"/>
    <s v="18F000"/>
    <x v="10"/>
    <s v="2191"/>
    <s v="711001"/>
    <m/>
    <m/>
    <n v="0.2"/>
    <n v="80317.726800000004"/>
    <n v="16063.545360000002"/>
    <n v="9094.122731351983"/>
    <n v="25157.668091351985"/>
    <n v="44.64"/>
    <n v="17.16"/>
    <n v="3237.6000000000004"/>
    <n v="259.33438661710034"/>
    <m/>
    <n v="314.84548905600002"/>
    <m/>
    <n v="232.92140772000005"/>
    <n v="158.35443015888004"/>
    <m/>
    <n v="130.68000000000004"/>
    <n v="8.0317726800000013"/>
    <m/>
    <n v="995.9398123200001"/>
    <n v="3694.6154328000007"/>
  </r>
  <r>
    <s v="DMC118"/>
    <s v="Administrative Assistant"/>
    <s v="@00486139"/>
    <s v="Crews, Kimberly A."/>
    <s v="445"/>
    <n v="14"/>
    <s v="C"/>
    <s v="CA"/>
    <s v="A"/>
    <n v="1"/>
    <n v="100"/>
    <n v="1"/>
    <x v="5"/>
    <s v="18F000"/>
    <x v="10"/>
    <s v="2191"/>
    <s v="711001"/>
    <m/>
    <m/>
    <n v="0.2"/>
    <n v="72763.838900000032"/>
    <n v="14552.767780000007"/>
    <n v="8585.8095283403436"/>
    <n v="23138.577308340351"/>
    <n v="44.64"/>
    <n v="17.16"/>
    <n v="3237.6000000000004"/>
    <n v="259.33438661710034"/>
    <m/>
    <n v="285.23424848800016"/>
    <m/>
    <n v="211.01513281000013"/>
    <n v="143.46118477524007"/>
    <m/>
    <n v="130.68000000000004"/>
    <n v="7.2763838900000035"/>
    <m/>
    <n v="902.27160236000043"/>
    <n v="3347.1365894000019"/>
  </r>
  <r>
    <s v="DMN021"/>
    <s v="Construction Project Manager"/>
    <s v="@00410497"/>
    <s v="DeRosa, Joseph J."/>
    <s v="G"/>
    <n v="12"/>
    <s v="M"/>
    <s v="M2"/>
    <s v="A"/>
    <n v="1"/>
    <n v="100"/>
    <n v="1"/>
    <x v="5"/>
    <s v="18F000"/>
    <x v="10"/>
    <s v="2110"/>
    <s v="711001"/>
    <m/>
    <m/>
    <n v="0.2"/>
    <n v="117770.98"/>
    <n v="23554.196"/>
    <n v="11614.412064385102"/>
    <n v="35168.608064385102"/>
    <n v="44.64"/>
    <n v="17.16"/>
    <n v="3237.6000000000004"/>
    <n v="259.33438661710034"/>
    <m/>
    <n v="461.66224159999996"/>
    <m/>
    <n v="341.535842"/>
    <n v="232.197264168"/>
    <m/>
    <n v="130.68000000000004"/>
    <n v="11.777098000000001"/>
    <m/>
    <n v="1460.360152"/>
    <n v="5417.4650799999999"/>
  </r>
  <r>
    <s v="DMN033"/>
    <s v="Construction Project Manager"/>
    <s v="@00020504"/>
    <s v="Reed, Daniel W."/>
    <s v="G"/>
    <n v="12"/>
    <s v="M"/>
    <s v="M2"/>
    <s v="A"/>
    <n v="1"/>
    <n v="100"/>
    <n v="1"/>
    <x v="5"/>
    <s v="18F000"/>
    <x v="10"/>
    <s v="2110"/>
    <s v="713000"/>
    <m/>
    <m/>
    <n v="0.2"/>
    <n v="117770.98"/>
    <n v="23554.196"/>
    <n v="11614.412064385102"/>
    <n v="35168.608064385102"/>
    <n v="44.64"/>
    <n v="17.16"/>
    <n v="3237.6000000000004"/>
    <n v="259.33438661710034"/>
    <m/>
    <n v="461.66224159999996"/>
    <m/>
    <n v="341.535842"/>
    <n v="232.197264168"/>
    <m/>
    <n v="130.68000000000004"/>
    <n v="11.777098000000001"/>
    <m/>
    <n v="1460.360152"/>
    <n v="5417.4650799999999"/>
  </r>
  <r>
    <s v="DMN041"/>
    <s v="Construction Project Manager"/>
    <s v="@00622576"/>
    <s v="Hernandez, Nicholas"/>
    <s v="G"/>
    <n v="12"/>
    <s v="M"/>
    <s v="M2"/>
    <s v="A"/>
    <n v="1"/>
    <n v="100"/>
    <n v="1"/>
    <x v="5"/>
    <s v="18F000"/>
    <x v="10"/>
    <s v="2110"/>
    <s v="711001"/>
    <m/>
    <m/>
    <n v="0.2"/>
    <n v="120715.25"/>
    <n v="24143.050000000003"/>
    <n v="11812.536703517104"/>
    <n v="35955.58670351711"/>
    <n v="44.64"/>
    <n v="17.16"/>
    <n v="3237.6000000000004"/>
    <n v="259.33438661710034"/>
    <m/>
    <n v="473.20378000000005"/>
    <m/>
    <n v="350.07422500000007"/>
    <n v="238.00218690000003"/>
    <m/>
    <n v="130.68000000000004"/>
    <n v="12.071525000000001"/>
    <m/>
    <n v="1496.8691000000001"/>
    <n v="5552.9015000000009"/>
  </r>
  <r>
    <s v="DMN051"/>
    <s v="Assoc Vice Chan, Const &amp; Facil"/>
    <s v="@00726504"/>
    <s v="Rowles, Randall L."/>
    <s v="L"/>
    <n v="12"/>
    <s v="M"/>
    <s v="M2"/>
    <s v="A"/>
    <n v="1"/>
    <n v="100"/>
    <n v="1"/>
    <x v="5"/>
    <s v="18F000"/>
    <x v="10"/>
    <s v="2110"/>
    <s v="711001"/>
    <m/>
    <m/>
    <n v="0.2"/>
    <n v="172538.91"/>
    <n v="34507.781999999999"/>
    <n v="14808.311218773102"/>
    <n v="49316.093218773101"/>
    <n v="44.64"/>
    <n v="17.16"/>
    <n v="3237.6000000000004"/>
    <n v="259.33438661710034"/>
    <m/>
    <n v="676.35252719999994"/>
    <m/>
    <n v="500.36283900000001"/>
    <n v="340.17771495599999"/>
    <m/>
    <n v="130.68000000000004"/>
    <n v="17.253890999999999"/>
    <m/>
    <n v="1647.96"/>
    <n v="7936.7898599999999"/>
  </r>
  <r>
    <s v="DMN068"/>
    <s v="Construction Project Manager"/>
    <s v="@00178039"/>
    <s v="Powell, Jamal D."/>
    <s v="G"/>
    <n v="8"/>
    <s v="M"/>
    <s v="M2"/>
    <s v="A"/>
    <n v="1"/>
    <n v="100"/>
    <n v="1"/>
    <x v="5"/>
    <s v="18F000"/>
    <x v="10"/>
    <s v="2110"/>
    <s v="711001"/>
    <m/>
    <m/>
    <n v="0.2"/>
    <n v="106694.69"/>
    <n v="21338.938000000002"/>
    <n v="10869.070788221103"/>
    <n v="32208.008788221105"/>
    <n v="44.64"/>
    <n v="17.16"/>
    <n v="3237.6000000000004"/>
    <n v="259.33438661710034"/>
    <m/>
    <n v="418.24318480000005"/>
    <m/>
    <n v="309.41460100000006"/>
    <n v="210.35925080400003"/>
    <m/>
    <n v="130.68000000000004"/>
    <n v="10.669469000000001"/>
    <m/>
    <n v="1323.0141560000002"/>
    <n v="4907.9557400000003"/>
  </r>
  <r>
    <s v="DMC116"/>
    <s v="Accounting Coordinator"/>
    <s v="@00355529"/>
    <s v="Cisneros, Rafaela T."/>
    <s v="465"/>
    <n v="14"/>
    <s v="C"/>
    <s v="CA"/>
    <s v="A"/>
    <n v="1"/>
    <n v="100"/>
    <n v="1"/>
    <x v="6"/>
    <s v="18F000"/>
    <x v="10"/>
    <s v="2191"/>
    <s v="711001"/>
    <m/>
    <m/>
    <n v="0.8"/>
    <n v="80317.726800000004"/>
    <n v="64254.181440000008"/>
    <n v="36376.490925407932"/>
    <n v="100630.67236540794"/>
    <n v="178.56"/>
    <n v="68.64"/>
    <n v="12950.400000000001"/>
    <n v="1037.3375464684013"/>
    <m/>
    <n v="1259.3819562240001"/>
    <m/>
    <n v="931.68563088000019"/>
    <n v="633.41772063552014"/>
    <m/>
    <n v="522.72000000000014"/>
    <n v="32.127090720000005"/>
    <m/>
    <n v="3983.7592492800004"/>
    <n v="14778.461731200003"/>
  </r>
  <r>
    <s v="DMC118"/>
    <s v="Administrative Assistant"/>
    <s v="@00486139"/>
    <s v="Crews, Kimberly A."/>
    <s v="445"/>
    <n v="14"/>
    <s v="C"/>
    <s v="CA"/>
    <s v="A"/>
    <n v="1"/>
    <n v="100"/>
    <n v="1"/>
    <x v="6"/>
    <s v="18F000"/>
    <x v="10"/>
    <s v="2191"/>
    <s v="711001"/>
    <m/>
    <m/>
    <n v="0.8"/>
    <n v="72763.838900000032"/>
    <n v="58211.07112000003"/>
    <n v="34343.238113361374"/>
    <n v="92554.309233361404"/>
    <n v="178.56"/>
    <n v="68.64"/>
    <n v="12950.400000000001"/>
    <n v="1037.3375464684013"/>
    <m/>
    <n v="1140.9369939520006"/>
    <m/>
    <n v="844.0605312400005"/>
    <n v="573.84473910096028"/>
    <m/>
    <n v="522.72000000000014"/>
    <n v="29.105535560000014"/>
    <m/>
    <n v="3609.0864094400017"/>
    <n v="13388.546357600007"/>
  </r>
  <r>
    <s v="DMN021"/>
    <s v="Construction Project Manager"/>
    <s v="@00410497"/>
    <s v="DeRosa, Joseph J."/>
    <s v="G"/>
    <n v="12"/>
    <s v="M"/>
    <s v="M2"/>
    <s v="A"/>
    <n v="1"/>
    <n v="100"/>
    <n v="1"/>
    <x v="6"/>
    <s v="18F000"/>
    <x v="10"/>
    <s v="2110"/>
    <s v="711001"/>
    <m/>
    <m/>
    <n v="0.8"/>
    <n v="117770.98"/>
    <n v="94216.784"/>
    <n v="46457.648257540408"/>
    <n v="140674.43225754041"/>
    <n v="178.56"/>
    <n v="68.64"/>
    <n v="12950.400000000001"/>
    <n v="1037.3375464684013"/>
    <m/>
    <n v="1846.6489663999998"/>
    <m/>
    <n v="1366.143368"/>
    <n v="928.78905667200002"/>
    <m/>
    <n v="522.72000000000014"/>
    <n v="47.108392000000002"/>
    <m/>
    <n v="5841.4406079999999"/>
    <n v="21669.86032"/>
  </r>
  <r>
    <s v="DMN033"/>
    <s v="Construction Project Manager"/>
    <s v="@00020504"/>
    <s v="Reed, Daniel W."/>
    <s v="G"/>
    <n v="12"/>
    <s v="M"/>
    <s v="M2"/>
    <s v="A"/>
    <n v="1"/>
    <n v="100"/>
    <n v="1"/>
    <x v="6"/>
    <s v="18F000"/>
    <x v="10"/>
    <s v="2110"/>
    <s v="713000"/>
    <m/>
    <m/>
    <n v="0.8"/>
    <n v="117770.98"/>
    <n v="94216.784"/>
    <n v="46457.648257540408"/>
    <n v="140674.43225754041"/>
    <n v="178.56"/>
    <n v="68.64"/>
    <n v="12950.400000000001"/>
    <n v="1037.3375464684013"/>
    <m/>
    <n v="1846.6489663999998"/>
    <m/>
    <n v="1366.143368"/>
    <n v="928.78905667200002"/>
    <m/>
    <n v="522.72000000000014"/>
    <n v="47.108392000000002"/>
    <m/>
    <n v="5841.4406079999999"/>
    <n v="21669.86032"/>
  </r>
  <r>
    <s v="DMN041"/>
    <s v="Construction Project Manager"/>
    <s v="@00622576"/>
    <s v="Hernandez, Nicholas"/>
    <s v="G"/>
    <n v="12"/>
    <s v="M"/>
    <s v="M2"/>
    <s v="A"/>
    <n v="1"/>
    <n v="100"/>
    <n v="1"/>
    <x v="6"/>
    <s v="18F000"/>
    <x v="10"/>
    <s v="2110"/>
    <s v="711001"/>
    <m/>
    <m/>
    <n v="0.8"/>
    <n v="120715.25"/>
    <n v="96572.200000000012"/>
    <n v="47250.146814068416"/>
    <n v="143822.34681406844"/>
    <n v="178.56"/>
    <n v="68.64"/>
    <n v="12950.400000000001"/>
    <n v="1037.3375464684013"/>
    <m/>
    <n v="1892.8151200000002"/>
    <m/>
    <n v="1400.2969000000003"/>
    <n v="952.00874760000011"/>
    <m/>
    <n v="522.72000000000014"/>
    <n v="48.286100000000005"/>
    <m/>
    <n v="5987.4764000000005"/>
    <n v="22211.606000000003"/>
  </r>
  <r>
    <s v="DMN051"/>
    <s v="Assoc Vice Chan, Const &amp; Facil"/>
    <s v="@00726504"/>
    <s v="Rowles, Randall L."/>
    <s v="L"/>
    <n v="12"/>
    <s v="M"/>
    <s v="M2"/>
    <s v="A"/>
    <n v="1"/>
    <n v="100"/>
    <n v="1"/>
    <x v="6"/>
    <s v="18F000"/>
    <x v="10"/>
    <s v="2110"/>
    <s v="711001"/>
    <m/>
    <m/>
    <n v="0.8"/>
    <n v="172538.91"/>
    <n v="138031.128"/>
    <n v="59233.244875092409"/>
    <n v="197264.37287509241"/>
    <n v="178.56"/>
    <n v="68.64"/>
    <n v="12950.400000000001"/>
    <n v="1037.3375464684013"/>
    <m/>
    <n v="2705.4101087999998"/>
    <m/>
    <n v="2001.451356"/>
    <n v="1360.710859824"/>
    <m/>
    <n v="522.72000000000014"/>
    <n v="69.015563999999998"/>
    <m/>
    <n v="6591.84"/>
    <n v="31747.159439999999"/>
  </r>
  <r>
    <s v="DMN068"/>
    <s v="Construction Project Manager"/>
    <s v="@00178039"/>
    <s v="Powell, Jamal D."/>
    <s v="G"/>
    <n v="8"/>
    <s v="M"/>
    <s v="M2"/>
    <s v="A"/>
    <n v="1"/>
    <n v="100"/>
    <n v="1"/>
    <x v="6"/>
    <s v="18F000"/>
    <x v="10"/>
    <s v="2110"/>
    <s v="711001"/>
    <m/>
    <m/>
    <n v="0.8"/>
    <n v="106694.69"/>
    <n v="85355.752000000008"/>
    <n v="43476.283152884411"/>
    <n v="128832.03515288442"/>
    <n v="178.56"/>
    <n v="68.64"/>
    <n v="12950.400000000001"/>
    <n v="1037.3375464684013"/>
    <m/>
    <n v="1672.9727392000002"/>
    <m/>
    <n v="1237.6584040000002"/>
    <n v="841.43700321600011"/>
    <m/>
    <n v="522.72000000000014"/>
    <n v="42.677876000000005"/>
    <m/>
    <n v="5292.0566240000007"/>
    <n v="19631.822960000001"/>
  </r>
  <r>
    <s v="DMC166"/>
    <s v="Workforce Prep Assistant"/>
    <s v="@00064745"/>
    <s v="Beed, Anna B."/>
    <s v="425"/>
    <n v="4"/>
    <s v="C"/>
    <s v="CA"/>
    <s v="A"/>
    <n v="1"/>
    <n v="100"/>
    <n v="1"/>
    <x v="7"/>
    <s v="11BSW1"/>
    <x v="1"/>
    <s v="2191"/>
    <s v="684000"/>
    <m/>
    <m/>
    <n v="0.05"/>
    <n v="51496.939899999954"/>
    <n v="2574.8469949999981"/>
    <n v="1781.5024521484843"/>
    <n v="4356.3494471484828"/>
    <n v="11.16"/>
    <n v="4.29"/>
    <n v="809.40000000000009"/>
    <n v="64.833596654275084"/>
    <m/>
    <n v="50.467001101999962"/>
    <m/>
    <n v="37.335281427499972"/>
    <n v="25.382841676709983"/>
    <m/>
    <n v="25.490985250499982"/>
    <n v="1.287423497499999"/>
    <m/>
    <n v="159.64051368999989"/>
    <n v="592.2148088499996"/>
  </r>
  <r>
    <s v="DMN043"/>
    <s v="Director, Clean Energy Center"/>
    <s v="@00412898"/>
    <s v="Teasdale, David G."/>
    <s v="J"/>
    <n v="12"/>
    <s v="M"/>
    <s v="M2"/>
    <s v="A"/>
    <n v="1"/>
    <n v="100"/>
    <n v="1"/>
    <x v="7"/>
    <s v="11BSW1"/>
    <x v="1"/>
    <s v="2110"/>
    <s v="684000"/>
    <m/>
    <m/>
    <n v="7.4999999999999997E-2"/>
    <n v="144210.15"/>
    <n v="10815.76125"/>
    <n v="4969.987596133913"/>
    <n v="15785.748846133913"/>
    <n v="16.739999999999998"/>
    <n v="6.4349999999999996"/>
    <n v="1214.0999999999999"/>
    <n v="97.250394981412626"/>
    <m/>
    <n v="211.98892049999998"/>
    <m/>
    <n v="156.82853812499999"/>
    <n v="106.62177440249999"/>
    <m/>
    <n v="49.005000000000003"/>
    <n v="5.4078806249999998"/>
    <m/>
    <n v="617.9849999999999"/>
    <n v="2487.6250875000001"/>
  </r>
  <r>
    <s v="DMC166"/>
    <s v="Workforce Prep Assistant"/>
    <s v="@00064745"/>
    <s v="Beed, Anna B."/>
    <s v="425"/>
    <n v="4"/>
    <s v="C"/>
    <s v="CA"/>
    <s v="A"/>
    <n v="1"/>
    <n v="100"/>
    <n v="1"/>
    <x v="8"/>
    <s v="11BSW2"/>
    <x v="1"/>
    <s v="2191"/>
    <s v="684000"/>
    <m/>
    <m/>
    <n v="0.05"/>
    <n v="51496.939899999954"/>
    <n v="2574.8469949999981"/>
    <n v="1781.5024521484843"/>
    <n v="4356.3494471484828"/>
    <n v="11.16"/>
    <n v="4.29"/>
    <n v="809.40000000000009"/>
    <n v="64.833596654275084"/>
    <m/>
    <n v="50.467001101999962"/>
    <m/>
    <n v="37.335281427499972"/>
    <n v="25.382841676709983"/>
    <m/>
    <n v="25.490985250499982"/>
    <n v="1.287423497499999"/>
    <m/>
    <n v="159.64051368999989"/>
    <n v="592.2148088499996"/>
  </r>
  <r>
    <s v="DMN043"/>
    <s v="Director, Clean Energy Center"/>
    <s v="@00412898"/>
    <s v="Teasdale, David G."/>
    <s v="J"/>
    <n v="12"/>
    <s v="M"/>
    <s v="M2"/>
    <s v="A"/>
    <n v="1"/>
    <n v="100"/>
    <n v="1"/>
    <x v="8"/>
    <s v="11BSW2"/>
    <x v="1"/>
    <s v="2110"/>
    <s v="684000"/>
    <m/>
    <m/>
    <n v="7.4999999999999997E-2"/>
    <n v="144210.15"/>
    <n v="10815.76125"/>
    <n v="4969.987596133913"/>
    <n v="15785.748846133913"/>
    <n v="16.739999999999998"/>
    <n v="6.4349999999999996"/>
    <n v="1214.0999999999999"/>
    <n v="97.250394981412626"/>
    <m/>
    <n v="211.98892049999998"/>
    <m/>
    <n v="156.82853812499999"/>
    <n v="106.62177440249999"/>
    <m/>
    <n v="49.005000000000003"/>
    <n v="5.4078806249999998"/>
    <m/>
    <n v="617.9849999999999"/>
    <n v="2487.6250875000001"/>
  </r>
  <r>
    <s v="DMC171"/>
    <s v="Institutional Research Analyst"/>
    <s v="@00740933"/>
    <s v="Levig, Kelly M."/>
    <s v="500"/>
    <n v="2"/>
    <s v="C"/>
    <s v="CA"/>
    <s v="A"/>
    <n v="1"/>
    <n v="100"/>
    <n v="1"/>
    <x v="9"/>
    <s v="512WR4"/>
    <x v="11"/>
    <s v="2191"/>
    <s v="684000"/>
    <s v="SWRL17"/>
    <m/>
    <n v="0.16500000000000001"/>
    <n v="70989.161099999998"/>
    <n v="11713.2115815"/>
    <n v="6984.7706112474361"/>
    <n v="18697.982192747437"/>
    <n v="36.828000000000003"/>
    <n v="14.157"/>
    <n v="2671.02"/>
    <n v="213.95086895910779"/>
    <m/>
    <n v="229.57894699739998"/>
    <m/>
    <n v="169.84156793175001"/>
    <n v="115.468839770427"/>
    <m/>
    <n v="107.81100000000002"/>
    <n v="5.8566057907499998"/>
    <m/>
    <n v="726.21911805299999"/>
    <n v="2694.0386637450001"/>
  </r>
  <r>
    <s v="DMC171"/>
    <s v="Institutional Research Analyst"/>
    <s v="@00740933"/>
    <s v="Levig, Kelly M."/>
    <s v="500"/>
    <n v="2"/>
    <s v="C"/>
    <s v="CA"/>
    <s v="A"/>
    <n v="1"/>
    <n v="100"/>
    <n v="1"/>
    <x v="9"/>
    <s v="21AWR4"/>
    <x v="12"/>
    <s v="2191"/>
    <s v="684000"/>
    <s v="SWRL17"/>
    <m/>
    <n v="0.34"/>
    <n v="70989.161099999998"/>
    <n v="24136.314774000002"/>
    <n v="14392.860653479564"/>
    <n v="38529.175427479568"/>
    <n v="75.888000000000005"/>
    <n v="29.172000000000001"/>
    <n v="5503.92"/>
    <n v="440.86845724907062"/>
    <m/>
    <n v="473.07176957040002"/>
    <m/>
    <n v="349.97656422300003"/>
    <n v="237.93579104209203"/>
    <m/>
    <n v="222.15600000000003"/>
    <n v="12.068157387000001"/>
    <m/>
    <n v="1496.4515159880002"/>
    <n v="5551.3523980200007"/>
  </r>
  <r>
    <s v="DMC171"/>
    <s v="Institutional Research Analyst"/>
    <s v="@00740933"/>
    <s v="Levig, Kelly M."/>
    <s v="500"/>
    <n v="2"/>
    <s v="C"/>
    <s v="CA"/>
    <s v="A"/>
    <n v="1"/>
    <n v="100"/>
    <n v="1"/>
    <x v="9"/>
    <s v="411WR4"/>
    <x v="13"/>
    <s v="2191"/>
    <s v="684000"/>
    <s v="SWRL17"/>
    <s v="CI"/>
    <n v="0.19469999999999998"/>
    <n v="70989.161099999998"/>
    <n v="13821.589666169999"/>
    <n v="8242.0293212719735"/>
    <n v="22063.618987441972"/>
    <n v="43.457039999999992"/>
    <n v="16.705259999999999"/>
    <n v="3151.8035999999997"/>
    <n v="252.46202537174716"/>
    <m/>
    <n v="270.90315745693198"/>
    <m/>
    <n v="200.413050159465"/>
    <n v="136.25323092910386"/>
    <m/>
    <n v="127.21698000000001"/>
    <n v="6.9107948330849993"/>
    <m/>
    <n v="856.93855930253994"/>
    <n v="3178.9656232191001"/>
  </r>
  <r>
    <s v="DMC171"/>
    <s v="Institutional Research Analyst"/>
    <s v="@00740933"/>
    <s v="Levig, Kelly M."/>
    <s v="500"/>
    <n v="2"/>
    <s v="C"/>
    <s v="CA"/>
    <s v="A"/>
    <n v="1"/>
    <n v="100"/>
    <n v="1"/>
    <x v="9"/>
    <s v="411WR3"/>
    <x v="13"/>
    <s v="2191"/>
    <s v="684000"/>
    <s v="SWRL17"/>
    <s v="CI"/>
    <n v="0.1353"/>
    <n v="70989.161099999998"/>
    <n v="9604.8334968300005"/>
    <n v="5727.511901222897"/>
    <n v="15332.345398052898"/>
    <n v="30.19896"/>
    <n v="11.608739999999999"/>
    <n v="2190.2364000000002"/>
    <n v="175.43971254646837"/>
    <m/>
    <n v="188.25473653786801"/>
    <m/>
    <n v="139.27008570403501"/>
    <n v="94.684448611750156"/>
    <m/>
    <n v="88.405020000000022"/>
    <n v="4.8024167484150002"/>
    <m/>
    <n v="595.49967680346003"/>
    <n v="2209.1117042709002"/>
  </r>
  <r>
    <s v="DMC171"/>
    <s v="Institutional Research Analyst"/>
    <s v="@00740933"/>
    <s v="Levig, Kelly M."/>
    <s v="500"/>
    <n v="2"/>
    <s v="C"/>
    <s v="CA"/>
    <s v="A"/>
    <n v="1"/>
    <n v="100"/>
    <n v="1"/>
    <x v="9"/>
    <s v="512WR3"/>
    <x v="11"/>
    <s v="2191"/>
    <s v="684000"/>
    <s v="SWRL17"/>
    <m/>
    <n v="0.16500000000000001"/>
    <n v="70989.161099999998"/>
    <n v="11713.2115815"/>
    <n v="6984.7706112474361"/>
    <n v="18697.982192747437"/>
    <n v="36.828000000000003"/>
    <n v="14.157"/>
    <n v="2671.02"/>
    <n v="213.95086895910779"/>
    <m/>
    <n v="229.57894699739998"/>
    <m/>
    <n v="169.84156793175001"/>
    <n v="115.468839770427"/>
    <m/>
    <n v="107.81100000000002"/>
    <n v="5.8566057907499998"/>
    <m/>
    <n v="726.21911805299999"/>
    <n v="2694.0386637450001"/>
  </r>
  <r>
    <s v="DMN072"/>
    <s v="Program Manager"/>
    <s v="@00519365"/>
    <s v="Crosshabeyeh, Amani R."/>
    <s v="D"/>
    <n v="2"/>
    <s v="M"/>
    <s v="M2"/>
    <s v="A"/>
    <n v="1"/>
    <n v="100"/>
    <n v="1"/>
    <x v="9"/>
    <s v="411WR4"/>
    <x v="13"/>
    <s v="2110"/>
    <s v="684000"/>
    <s v="SWRL17"/>
    <s v="CI"/>
    <n v="0.19469999999999998"/>
    <n v="67973.53"/>
    <n v="13234.446290999998"/>
    <n v="8044.4802355490247"/>
    <n v="21278.926526549025"/>
    <n v="43.457039999999992"/>
    <n v="16.705259999999999"/>
    <n v="3151.8035999999997"/>
    <n v="252.46202537174716"/>
    <m/>
    <n v="259.39514730359997"/>
    <m/>
    <n v="191.89947121949999"/>
    <n v="130.46517153667799"/>
    <m/>
    <n v="127.21698000000001"/>
    <n v="6.6172231454999997"/>
    <m/>
    <n v="820.53567004199988"/>
    <n v="3043.9226469299997"/>
  </r>
  <r>
    <s v="DMN072"/>
    <s v="Program Manager"/>
    <s v="@00519365"/>
    <s v="Crosshabeyeh, Amani R."/>
    <s v="D"/>
    <n v="2"/>
    <s v="M"/>
    <s v="M2"/>
    <s v="A"/>
    <n v="1"/>
    <n v="100"/>
    <n v="1"/>
    <x v="9"/>
    <s v="512WR4"/>
    <x v="11"/>
    <s v="2110"/>
    <s v="679000"/>
    <s v="SWRL17"/>
    <m/>
    <n v="0.16500000000000001"/>
    <n v="67973.53"/>
    <n v="11215.632450000001"/>
    <n v="6817.3561318212087"/>
    <n v="18032.98858182121"/>
    <n v="36.828000000000003"/>
    <n v="14.157"/>
    <n v="2671.02"/>
    <n v="213.95086895910779"/>
    <m/>
    <n v="219.82639602"/>
    <m/>
    <n v="162.62667052500001"/>
    <n v="110.56370469210002"/>
    <m/>
    <n v="107.81100000000002"/>
    <n v="5.6078162250000005"/>
    <m/>
    <n v="695.3692119000001"/>
    <n v="2579.5954635000003"/>
  </r>
  <r>
    <s v="DMN072"/>
    <s v="Program Manager"/>
    <s v="@00519365"/>
    <s v="Crosshabeyeh, Amani R."/>
    <s v="D"/>
    <n v="2"/>
    <s v="M"/>
    <s v="M2"/>
    <s v="A"/>
    <n v="1"/>
    <n v="100"/>
    <n v="1"/>
    <x v="9"/>
    <s v="512WR3"/>
    <x v="11"/>
    <s v="2110"/>
    <s v="679000"/>
    <s v="SWRL17"/>
    <m/>
    <n v="0.16500000000000001"/>
    <n v="67973.53"/>
    <n v="11215.632450000001"/>
    <n v="6817.3561318212087"/>
    <n v="18032.98858182121"/>
    <n v="36.828000000000003"/>
    <n v="14.157"/>
    <n v="2671.02"/>
    <n v="213.95086895910779"/>
    <m/>
    <n v="219.82639602"/>
    <m/>
    <n v="162.62667052500001"/>
    <n v="110.56370469210002"/>
    <m/>
    <n v="107.81100000000002"/>
    <n v="5.6078162250000005"/>
    <m/>
    <n v="695.3692119000001"/>
    <n v="2579.5954635000003"/>
  </r>
  <r>
    <s v="DMN072"/>
    <s v="Program Manager"/>
    <s v="@00519365"/>
    <s v="Crosshabeyeh, Amani R."/>
    <s v="D"/>
    <n v="2"/>
    <s v="M"/>
    <s v="M2"/>
    <s v="A"/>
    <n v="1"/>
    <n v="100"/>
    <n v="1"/>
    <x v="9"/>
    <s v="21AWR4"/>
    <x v="12"/>
    <s v="2110"/>
    <s v="684000"/>
    <s v="SWRL17"/>
    <m/>
    <n v="0.34"/>
    <n v="67973.53"/>
    <n v="23111.000200000002"/>
    <n v="14047.88536254067"/>
    <n v="37158.885562540672"/>
    <n v="75.888000000000005"/>
    <n v="29.172000000000001"/>
    <n v="5503.92"/>
    <n v="440.86845724907062"/>
    <m/>
    <n v="452.97560392000003"/>
    <m/>
    <n v="335.10950290000005"/>
    <n v="227.82823997160003"/>
    <m/>
    <n v="222.15600000000003"/>
    <n v="11.555500100000001"/>
    <m/>
    <n v="1432.8820124000001"/>
    <n v="5315.5300460000008"/>
  </r>
  <r>
    <s v="DMN072"/>
    <s v="Program Manager"/>
    <s v="@00519365"/>
    <s v="Crosshabeyeh, Amani R."/>
    <s v="D"/>
    <n v="2"/>
    <s v="M"/>
    <s v="M2"/>
    <s v="A"/>
    <n v="1"/>
    <n v="100"/>
    <n v="1"/>
    <x v="9"/>
    <s v="411WR3"/>
    <x v="13"/>
    <s v="2110"/>
    <s v="684000"/>
    <s v="SWRL17"/>
    <s v="CI"/>
    <n v="0.1353"/>
    <n v="67973.53"/>
    <n v="9196.8186089999999"/>
    <n v="5590.2320280933909"/>
    <n v="14787.050637093391"/>
    <n v="30.19896"/>
    <n v="11.608739999999999"/>
    <n v="2190.2364000000002"/>
    <n v="175.43971254646837"/>
    <m/>
    <n v="180.25764473639998"/>
    <m/>
    <n v="133.3538698305"/>
    <n v="90.662237847522007"/>
    <m/>
    <n v="88.405020000000022"/>
    <n v="4.5984093044999996"/>
    <m/>
    <n v="570.20275375799997"/>
    <n v="2115.2682800699999"/>
  </r>
  <r>
    <s v="BEC018"/>
    <s v="Administrative Assistant"/>
    <s v="@00058294"/>
    <s v="Horton, Genevieve T."/>
    <s v="445"/>
    <n v="6"/>
    <s v="C"/>
    <s v="CA"/>
    <s v="A"/>
    <n v="1"/>
    <n v="100"/>
    <n v="1"/>
    <x v="10"/>
    <s v="11BAE5"/>
    <x v="1"/>
    <s v="2191"/>
    <s v="684000"/>
    <s v="AEPLSC"/>
    <m/>
    <n v="0.1666"/>
    <n v="59720.639999999999"/>
    <n v="9949.458623999999"/>
    <n v="6410.5003341434358"/>
    <n v="16359.958958143434"/>
    <n v="37.185119999999998"/>
    <n v="14.294279999999999"/>
    <n v="2696.9207999999999"/>
    <n v="216.02554405204458"/>
    <m/>
    <n v="195.00938903039997"/>
    <m/>
    <n v="144.26715004799999"/>
    <n v="98.081763115391993"/>
    <m/>
    <n v="98.499640377600002"/>
    <n v="4.974729312"/>
    <m/>
    <n v="616.86643468799991"/>
    <n v="2288.3754835199998"/>
  </r>
  <r>
    <s v="BEC018"/>
    <s v="Administrative Assistant"/>
    <s v="@00058294"/>
    <s v="Horton, Genevieve T."/>
    <s v="445"/>
    <n v="6"/>
    <s v="C"/>
    <s v="CA"/>
    <s v="A"/>
    <n v="1"/>
    <n v="100"/>
    <n v="1"/>
    <x v="10"/>
    <s v="11BAE5"/>
    <x v="1"/>
    <s v="2191"/>
    <s v="684000"/>
    <s v="AEPLCV"/>
    <m/>
    <n v="0.16670000000000001"/>
    <n v="59720.639999999999"/>
    <n v="9955.4306880000004"/>
    <n v="6414.3481734796587"/>
    <n v="16369.778861479659"/>
    <n v="37.207439999999998"/>
    <n v="14.302860000000001"/>
    <n v="2698.5396000000001"/>
    <n v="216.15521124535314"/>
    <m/>
    <n v="195.12644148480001"/>
    <m/>
    <n v="144.353744976"/>
    <n v="98.140635722304012"/>
    <m/>
    <n v="98.558763811200009"/>
    <n v="4.9777153439999999"/>
    <m/>
    <n v="617.23670265600003"/>
    <n v="2289.7490582400001"/>
  </r>
  <r>
    <s v="BEC018"/>
    <s v="Administrative Assistant"/>
    <s v="@00058294"/>
    <s v="Horton, Genevieve T."/>
    <s v="445"/>
    <n v="6"/>
    <s v="C"/>
    <s v="CA"/>
    <s v="A"/>
    <n v="1"/>
    <n v="100"/>
    <n v="1"/>
    <x v="10"/>
    <s v="11BAE5"/>
    <x v="1"/>
    <s v="2191"/>
    <s v="684000"/>
    <s v="AEPLAB"/>
    <m/>
    <n v="0.16670000000000001"/>
    <n v="59720.639999999999"/>
    <n v="9955.4306880000004"/>
    <n v="6414.3481734796587"/>
    <n v="16369.778861479659"/>
    <n v="37.207439999999998"/>
    <n v="14.302860000000001"/>
    <n v="2698.5396000000001"/>
    <n v="216.15521124535314"/>
    <m/>
    <n v="195.12644148480001"/>
    <m/>
    <n v="144.353744976"/>
    <n v="98.140635722304012"/>
    <m/>
    <n v="98.558763811200009"/>
    <n v="4.9777153439999999"/>
    <m/>
    <n v="617.23670265600003"/>
    <n v="2289.7490582400001"/>
  </r>
  <r>
    <s v="DMC173"/>
    <s v="Department Assistant II (COF)"/>
    <m/>
    <m/>
    <m/>
    <m/>
    <s v="C"/>
    <s v="CC"/>
    <s v="A"/>
    <n v="0.47499999999999998"/>
    <m/>
    <m/>
    <x v="10"/>
    <s v="11BAE5"/>
    <x v="1"/>
    <s v="2191"/>
    <s v="684000"/>
    <m/>
    <m/>
    <n v="1"/>
    <n v="16075.652999999998"/>
    <n v="16075.652999999998"/>
    <n v="994.40774327399993"/>
    <n v="17070.060743274"/>
    <m/>
    <m/>
    <m/>
    <m/>
    <m/>
    <m/>
    <n v="594.79916099999991"/>
    <n v="233.0969685"/>
    <n v="158.47378727399999"/>
    <m/>
    <m/>
    <n v="8.0378264999999995"/>
    <m/>
    <m/>
    <m/>
  </r>
  <r>
    <s v="DMM027"/>
    <s v="Assoc Vice Chan -Comm,Econ,WF"/>
    <s v="@00709065"/>
    <s v="Gerald, Gertrude G."/>
    <s v="L"/>
    <n v="9"/>
    <s v="M"/>
    <s v="M1"/>
    <s v="A"/>
    <n v="1"/>
    <n v="100"/>
    <n v="1"/>
    <x v="10"/>
    <s v="11BWD1"/>
    <x v="1"/>
    <s v="1214"/>
    <s v="679000"/>
    <m/>
    <m/>
    <n v="0.5"/>
    <n v="164225.01"/>
    <n v="82112.505000000005"/>
    <n v="35879.869863832755"/>
    <n v="117992.37486383275"/>
    <n v="111.6"/>
    <n v="42.9"/>
    <n v="8094"/>
    <n v="648.33596654275084"/>
    <m/>
    <n v="1609.405098"/>
    <m/>
    <n v="1190.6313225000001"/>
    <n v="809.46507429000008"/>
    <m/>
    <n v="326.70000000000005"/>
    <n v="41.056252500000006"/>
    <m/>
    <n v="4119.8999999999996"/>
    <n v="18885.876150000004"/>
  </r>
  <r>
    <s v="DMN060"/>
    <s v="Pgm Dir, Adult Education"/>
    <s v="@00691290"/>
    <s v="Weldon, Thatcher G."/>
    <s v="G"/>
    <n v="3"/>
    <s v="M"/>
    <s v="M2"/>
    <s v="A"/>
    <n v="1"/>
    <n v="100"/>
    <n v="1"/>
    <x v="10"/>
    <s v="11BAE5"/>
    <x v="1"/>
    <s v="2110"/>
    <s v="684000"/>
    <s v="AEPLCV"/>
    <m/>
    <n v="0.33329999999999999"/>
    <n v="89625.84"/>
    <n v="29872.292471999997"/>
    <n v="16199.180855841574"/>
    <n v="46071.473327841573"/>
    <n v="74.392559999999989"/>
    <n v="28.597139999999996"/>
    <n v="5395.4603999999999"/>
    <n v="432.1807552973977"/>
    <m/>
    <n v="585.49693245119988"/>
    <m/>
    <n v="433.14824084399999"/>
    <n v="294.48105918897596"/>
    <m/>
    <n v="217.77822000000003"/>
    <n v="14.936146235999999"/>
    <m/>
    <n v="1852.0821332639998"/>
    <n v="6870.6272685599997"/>
  </r>
  <r>
    <s v="DMN060"/>
    <s v="Pgm Dir, Adult Education"/>
    <s v="@00691290"/>
    <s v="Weldon, Thatcher G."/>
    <s v="G"/>
    <n v="3"/>
    <s v="M"/>
    <s v="M2"/>
    <s v="A"/>
    <n v="1"/>
    <n v="100"/>
    <n v="1"/>
    <x v="10"/>
    <s v="11BAE5"/>
    <x v="1"/>
    <s v="2110"/>
    <s v="684000"/>
    <s v="AEPLSC"/>
    <m/>
    <n v="0.33340000000000003"/>
    <n v="89625.84"/>
    <n v="29881.255056000002"/>
    <n v="16204.041096122355"/>
    <n v="46085.296152122355"/>
    <n v="74.414879999999997"/>
    <n v="28.605720000000002"/>
    <n v="5397.0792000000001"/>
    <n v="432.31042249070629"/>
    <m/>
    <n v="585.67259909760003"/>
    <m/>
    <n v="433.27819831200003"/>
    <n v="294.56941234204805"/>
    <m/>
    <n v="217.84356000000005"/>
    <n v="14.940627528000002"/>
    <m/>
    <n v="1852.6378134720001"/>
    <n v="6872.6886628800003"/>
  </r>
  <r>
    <s v="DMN060"/>
    <s v="Pgm Dir, Adult Education"/>
    <s v="@00691290"/>
    <s v="Weldon, Thatcher G."/>
    <s v="G"/>
    <n v="3"/>
    <s v="M"/>
    <s v="M2"/>
    <s v="A"/>
    <n v="1"/>
    <n v="100"/>
    <n v="1"/>
    <x v="10"/>
    <s v="11BAE5"/>
    <x v="1"/>
    <s v="2110"/>
    <s v="684000"/>
    <s v="AEPLAB"/>
    <m/>
    <n v="0.33329999999999999"/>
    <n v="89625.84"/>
    <n v="29872.292471999997"/>
    <n v="16199.180855841574"/>
    <n v="46071.473327841573"/>
    <n v="74.392559999999989"/>
    <n v="28.597139999999996"/>
    <n v="5395.4603999999999"/>
    <n v="432.1807552973977"/>
    <m/>
    <n v="585.49693245119988"/>
    <m/>
    <n v="433.14824084399999"/>
    <n v="294.48105918897596"/>
    <m/>
    <n v="217.77822000000003"/>
    <n v="14.936146235999999"/>
    <m/>
    <n v="1852.0821332639998"/>
    <n v="6870.6272685599997"/>
  </r>
  <r>
    <s v="DMN062"/>
    <s v="Director, Programs &amp; Complianc"/>
    <s v="@00006798"/>
    <s v="Steele, Bonita"/>
    <s v="I"/>
    <n v="10"/>
    <s v="M"/>
    <s v="M2"/>
    <s v="A"/>
    <n v="1"/>
    <n v="100"/>
    <n v="1"/>
    <x v="11"/>
    <s v="11BA01"/>
    <x v="1"/>
    <s v="2110"/>
    <s v="684000"/>
    <m/>
    <m/>
    <n v="0"/>
    <n v="128263.71"/>
    <n v="0"/>
    <n v="0"/>
    <n v="0"/>
    <n v="0"/>
    <n v="0"/>
    <n v="0"/>
    <n v="0"/>
    <m/>
    <n v="0"/>
    <m/>
    <n v="0"/>
    <n v="0"/>
    <m/>
    <n v="0"/>
    <n v="0"/>
    <m/>
    <n v="0"/>
    <n v="0"/>
  </r>
  <r>
    <s v="DMN058"/>
    <s v="Pgm Dir, Work Based Learning"/>
    <m/>
    <m/>
    <m/>
    <m/>
    <s v="M"/>
    <s v="M2"/>
    <s v="A"/>
    <n v="1"/>
    <m/>
    <m/>
    <x v="12"/>
    <s v="11BA02"/>
    <x v="1"/>
    <s v="2110"/>
    <s v="684000"/>
    <m/>
    <m/>
    <n v="1"/>
    <m/>
    <n v="0"/>
    <n v="0"/>
    <n v="0"/>
    <m/>
    <m/>
    <m/>
    <m/>
    <m/>
    <n v="0"/>
    <m/>
    <n v="0"/>
    <n v="0"/>
    <m/>
    <n v="0"/>
    <n v="0"/>
    <m/>
    <n v="0"/>
    <n v="0"/>
  </r>
  <r>
    <s v="DMC172"/>
    <s v="Data Warehouse Developer COF"/>
    <m/>
    <s v="New Position ??"/>
    <m/>
    <m/>
    <m/>
    <s v="CA"/>
    <s v="A"/>
    <n v="1"/>
    <n v="100"/>
    <m/>
    <x v="13"/>
    <s v="20SIA1"/>
    <x v="14"/>
    <s v="2191"/>
    <s v="679000"/>
    <m/>
    <m/>
    <n v="1"/>
    <n v="78358.670300000042"/>
    <n v="78358.670300000042"/>
    <n v="44811.473424882912"/>
    <n v="123170.14372488295"/>
    <n v="223.2"/>
    <n v="85.8"/>
    <n v="16188"/>
    <n v="1296.6719330855017"/>
    <m/>
    <n v="1535.8299378800007"/>
    <m/>
    <n v="1136.2007193500006"/>
    <n v="772.45977181740045"/>
    <m/>
    <n v="653.40000000000009"/>
    <n v="39.179335150000021"/>
    <m/>
    <n v="4858.2375586000026"/>
    <n v="18022.49416900000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7">
  <r>
    <x v="0"/>
    <x v="0"/>
    <s v="@00714371"/>
    <s v="Geary, Camellia"/>
    <s v="410"/>
    <n v="4"/>
    <s v="C"/>
    <s v="CA"/>
    <s v="A"/>
    <n v="1"/>
    <n v="100"/>
    <n v="1"/>
    <x v="0"/>
    <s v="122BS3"/>
    <x v="0"/>
    <s v="2191"/>
    <s v="672000"/>
    <m/>
    <m/>
    <n v="0.25"/>
    <n v="47820"/>
    <n v="11955"/>
    <n v="8589.1278732713763"/>
    <n v="20544.127873271376"/>
    <n v="55.8"/>
    <n v="21.45"/>
    <n v="4047"/>
    <n v="324.16798327137542"/>
    <m/>
    <n v="234.31799999999998"/>
    <m/>
    <n v="173.3475"/>
    <n v="117.85239"/>
    <m/>
    <n v="118.35450000000002"/>
    <n v="5.9775"/>
    <m/>
    <n v="741.21"/>
    <n v="2749.65"/>
    <n v="291.585365853658"/>
    <n v="0"/>
  </r>
  <r>
    <x v="1"/>
    <x v="1"/>
    <m/>
    <m/>
    <m/>
    <m/>
    <s v="C"/>
    <s v="CA"/>
    <s v="A"/>
    <n v="0"/>
    <m/>
    <m/>
    <x v="1"/>
    <s v="117ET8"/>
    <x v="1"/>
    <s v="2191"/>
    <s v="684000"/>
    <m/>
    <m/>
    <n v="1"/>
    <n v="0"/>
    <n v="0"/>
    <n v="0"/>
    <n v="0"/>
    <n v="0"/>
    <n v="0"/>
    <n v="0"/>
    <n v="0"/>
    <m/>
    <n v="0"/>
    <m/>
    <n v="0"/>
    <n v="0"/>
    <m/>
    <n v="0"/>
    <n v="0"/>
    <m/>
    <n v="0"/>
    <n v="0"/>
    <n v="0"/>
    <n v="0"/>
  </r>
  <r>
    <x v="2"/>
    <x v="2"/>
    <s v="@00064745"/>
    <s v="Beed, Anna B."/>
    <s v="425"/>
    <n v="4"/>
    <s v="C"/>
    <s v="CA"/>
    <s v="A"/>
    <n v="1"/>
    <n v="100"/>
    <n v="1"/>
    <x v="1"/>
    <s v="117ET8"/>
    <x v="1"/>
    <s v="2191"/>
    <s v="684000"/>
    <m/>
    <m/>
    <n v="0.6"/>
    <n v="51496.939899999954"/>
    <n v="30898.163939999969"/>
    <n v="21378.02942578181"/>
    <n v="52276.193365781779"/>
    <n v="133.91999999999999"/>
    <n v="51.48"/>
    <n v="9712.7999999999993"/>
    <n v="778.00315985130101"/>
    <m/>
    <n v="605.60401322399935"/>
    <m/>
    <n v="448.02337712999957"/>
    <n v="304.59410012051973"/>
    <m/>
    <n v="305.8918230059997"/>
    <n v="15.449081969999986"/>
    <m/>
    <n v="1915.6861642799981"/>
    <n v="7106.5777061999934"/>
    <n v="753.61375463414151"/>
    <n v="0"/>
  </r>
  <r>
    <x v="3"/>
    <x v="3"/>
    <s v="@00412898"/>
    <s v="Teasdale, David G."/>
    <s v="J"/>
    <n v="12"/>
    <s v="M"/>
    <s v="M2"/>
    <s v="A"/>
    <n v="1"/>
    <n v="100"/>
    <n v="1"/>
    <x v="1"/>
    <s v="117ET8"/>
    <x v="1"/>
    <s v="2110"/>
    <s v="684000"/>
    <m/>
    <m/>
    <n v="0.4"/>
    <n v="144210.15"/>
    <n v="57684.06"/>
    <n v="26506.600512714202"/>
    <n v="84190.660512714196"/>
    <n v="89.28"/>
    <n v="34.32"/>
    <n v="6475.2000000000007"/>
    <n v="518.66877323420067"/>
    <m/>
    <n v="1130.6075759999999"/>
    <m/>
    <n v="836.41886999999997"/>
    <n v="568.64946348000001"/>
    <m/>
    <n v="261.36000000000007"/>
    <n v="28.842030000000001"/>
    <m/>
    <n v="3295.92"/>
    <n v="13267.3338"/>
    <n v="0"/>
    <n v="1406.9282926829255"/>
  </r>
  <r>
    <x v="4"/>
    <x v="4"/>
    <s v="@00484050"/>
    <s v="Elliott, William Vacant"/>
    <s v="G"/>
    <n v="6"/>
    <s v="M"/>
    <s v="M2"/>
    <s v="A"/>
    <n v="1"/>
    <n v="100"/>
    <n v="1"/>
    <x v="1"/>
    <s v="117ET8"/>
    <x v="1"/>
    <s v="2110"/>
    <s v="684000"/>
    <m/>
    <m/>
    <n v="0.5"/>
    <n v="96517.23"/>
    <n v="48258.614999999998"/>
    <n v="25460.533052212748"/>
    <n v="73719.148052212753"/>
    <n v="111.6"/>
    <n v="42.9"/>
    <n v="8094"/>
    <n v="648.33596654275084"/>
    <m/>
    <n v="945.86885399999994"/>
    <m/>
    <n v="699.74991750000004"/>
    <n v="475.73342667000003"/>
    <m/>
    <n v="326.70000000000005"/>
    <n v="24.129307499999999"/>
    <m/>
    <n v="2992.03413"/>
    <n v="11099.481449999999"/>
    <n v="0"/>
    <n v="1177.0393902438955"/>
  </r>
  <r>
    <x v="5"/>
    <x v="2"/>
    <s v="@00453302"/>
    <s v="Lopez, Betsaira"/>
    <s v="425"/>
    <n v="2"/>
    <s v="C"/>
    <s v="CA"/>
    <s v="A"/>
    <n v="1"/>
    <n v="100"/>
    <n v="1"/>
    <x v="2"/>
    <s v="11BCR1"/>
    <x v="1"/>
    <s v="2191"/>
    <s v="684000"/>
    <m/>
    <m/>
    <n v="0.5"/>
    <n v="49015.519499999995"/>
    <n v="24507.759749999997"/>
    <n v="17385.294618033251"/>
    <n v="41893.054368033248"/>
    <n v="111.6"/>
    <n v="42.9"/>
    <n v="8094"/>
    <n v="648.33596654275084"/>
    <m/>
    <n v="480.35209109999994"/>
    <m/>
    <n v="355.36251637499998"/>
    <n v="241.59749561549998"/>
    <m/>
    <n v="242.626821525"/>
    <n v="12.253879874999999"/>
    <m/>
    <n v="1519.4811044999999"/>
    <n v="5636.7847425"/>
    <n v="597.75023780487754"/>
    <n v="0"/>
  </r>
  <r>
    <x v="6"/>
    <x v="5"/>
    <s v="Delete??"/>
    <m/>
    <m/>
    <m/>
    <s v="C"/>
    <s v="CY"/>
    <s v="A"/>
    <n v="0.47499999999999998"/>
    <m/>
    <m/>
    <x v="2"/>
    <s v="11BCR1"/>
    <x v="1"/>
    <s v="2191"/>
    <s v="684000"/>
    <m/>
    <m/>
    <n v="0.5"/>
    <n v="18188.187000000002"/>
    <n v="9094.0935000000009"/>
    <n v="899.02389522300007"/>
    <n v="9993.1173952230001"/>
    <m/>
    <m/>
    <m/>
    <m/>
    <m/>
    <m/>
    <n v="672.96291900000006"/>
    <n v="131.86435575000002"/>
    <n v="89.649573723000017"/>
    <m/>
    <m/>
    <n v="4.5470467500000007"/>
    <m/>
    <m/>
    <m/>
    <n v="221.80715853658512"/>
    <n v="0"/>
  </r>
  <r>
    <x v="2"/>
    <x v="2"/>
    <s v="@00064745"/>
    <s v="Beed, Anna B."/>
    <s v="425"/>
    <n v="4"/>
    <s v="C"/>
    <s v="CA"/>
    <s v="A"/>
    <n v="1"/>
    <n v="100"/>
    <n v="1"/>
    <x v="2"/>
    <s v="11BCR1"/>
    <x v="1"/>
    <s v="2191"/>
    <s v="684000"/>
    <m/>
    <m/>
    <n v="0.3"/>
    <n v="51496.939899999954"/>
    <n v="15449.081969999985"/>
    <n v="10689.014712890905"/>
    <n v="26138.096682890889"/>
    <n v="66.959999999999994"/>
    <n v="25.74"/>
    <n v="4856.3999999999996"/>
    <n v="389.0015799256505"/>
    <m/>
    <n v="302.80200661199967"/>
    <m/>
    <n v="224.01168856499979"/>
    <n v="152.29705006025986"/>
    <m/>
    <n v="152.94591150299985"/>
    <n v="7.7245409849999929"/>
    <m/>
    <n v="957.84308213999907"/>
    <n v="3553.2888530999967"/>
    <n v="376.80687731707076"/>
    <n v="0"/>
  </r>
  <r>
    <x v="3"/>
    <x v="3"/>
    <s v="@00412898"/>
    <s v="Teasdale, David G."/>
    <s v="J"/>
    <n v="12"/>
    <s v="M"/>
    <s v="M2"/>
    <s v="A"/>
    <n v="1"/>
    <n v="100"/>
    <n v="1"/>
    <x v="2"/>
    <s v="11BCR1"/>
    <x v="1"/>
    <s v="2110"/>
    <s v="684000"/>
    <m/>
    <m/>
    <n v="0.4"/>
    <n v="144210.15"/>
    <n v="57684.06"/>
    <n v="26506.600512714202"/>
    <n v="84190.660512714196"/>
    <n v="89.28"/>
    <n v="34.32"/>
    <n v="6475.2000000000007"/>
    <n v="518.66877323420067"/>
    <m/>
    <n v="1130.6075759999999"/>
    <m/>
    <n v="836.41886999999997"/>
    <n v="568.64946348000001"/>
    <m/>
    <n v="261.36000000000007"/>
    <n v="28.842030000000001"/>
    <m/>
    <n v="3295.92"/>
    <n v="13267.3338"/>
    <n v="0"/>
    <n v="1406.9282926829255"/>
  </r>
  <r>
    <x v="4"/>
    <x v="4"/>
    <s v="@00484050"/>
    <s v="Elliott, William Vacant"/>
    <s v="G"/>
    <n v="6"/>
    <s v="M"/>
    <s v="M2"/>
    <s v="A"/>
    <n v="1"/>
    <n v="100"/>
    <n v="1"/>
    <x v="2"/>
    <s v="11BCR1"/>
    <x v="1"/>
    <s v="2110"/>
    <s v="684000"/>
    <m/>
    <m/>
    <n v="0.5"/>
    <n v="96517.23"/>
    <n v="48258.614999999998"/>
    <n v="25460.533052212748"/>
    <n v="73719.148052212753"/>
    <n v="111.6"/>
    <n v="42.9"/>
    <n v="8094"/>
    <n v="648.33596654275084"/>
    <m/>
    <n v="945.86885399999994"/>
    <m/>
    <n v="699.74991750000004"/>
    <n v="475.73342667000003"/>
    <m/>
    <n v="326.70000000000005"/>
    <n v="24.129307499999999"/>
    <m/>
    <n v="2992.03413"/>
    <n v="11099.481449999999"/>
    <n v="0"/>
    <n v="1177.0393902438955"/>
  </r>
  <r>
    <x v="7"/>
    <x v="6"/>
    <s v="@00003639"/>
    <s v="Casagrande, Richard M."/>
    <s v="490"/>
    <n v="14"/>
    <s v="C"/>
    <s v="CZ"/>
    <s v="A"/>
    <n v="1"/>
    <n v="100"/>
    <n v="1"/>
    <x v="3"/>
    <s v="11BBC3"/>
    <x v="1"/>
    <s v="2191"/>
    <s v="684000"/>
    <m/>
    <m/>
    <n v="1"/>
    <n v="90872.065199999997"/>
    <n v="90872.065199999997"/>
    <n v="49021.705246147103"/>
    <n v="139893.7704461471"/>
    <n v="223.2"/>
    <n v="85.8"/>
    <n v="16188"/>
    <n v="1296.6719330855017"/>
    <m/>
    <n v="1781.09247792"/>
    <m/>
    <n v="1317.6449454000001"/>
    <n v="895.81681874160006"/>
    <m/>
    <n v="653.40000000000009"/>
    <n v="45.436032599999997"/>
    <m/>
    <n v="5634.0680424000002"/>
    <n v="20900.574995999999"/>
    <n v="2216.3918341463286"/>
    <n v="0"/>
  </r>
  <r>
    <x v="8"/>
    <x v="7"/>
    <m/>
    <m/>
    <m/>
    <m/>
    <s v="C"/>
    <s v="CA"/>
    <s v="A"/>
    <n v="0"/>
    <m/>
    <m/>
    <x v="3"/>
    <s v="11BBC3"/>
    <x v="1"/>
    <s v="2191"/>
    <s v="684000"/>
    <m/>
    <m/>
    <n v="1"/>
    <n v="0"/>
    <n v="0"/>
    <n v="0"/>
    <n v="0"/>
    <n v="0"/>
    <n v="0"/>
    <n v="0"/>
    <n v="0"/>
    <m/>
    <n v="0"/>
    <m/>
    <n v="0"/>
    <n v="0"/>
    <m/>
    <n v="0"/>
    <n v="0"/>
    <m/>
    <n v="0"/>
    <n v="0"/>
    <n v="0"/>
    <n v="0"/>
  </r>
  <r>
    <x v="5"/>
    <x v="2"/>
    <s v="@00453302"/>
    <s v="Lopez, Betsaira"/>
    <s v="425"/>
    <n v="2"/>
    <s v="C"/>
    <s v="CA"/>
    <s v="A"/>
    <n v="1"/>
    <n v="100"/>
    <n v="1"/>
    <x v="3"/>
    <s v="11BBC3"/>
    <x v="1"/>
    <s v="2191"/>
    <s v="684000"/>
    <m/>
    <m/>
    <n v="0.5"/>
    <n v="49015.519499999995"/>
    <n v="24507.759749999997"/>
    <n v="17385.294618033251"/>
    <n v="41893.054368033248"/>
    <n v="111.6"/>
    <n v="42.9"/>
    <n v="8094"/>
    <n v="648.33596654275084"/>
    <m/>
    <n v="480.35209109999994"/>
    <m/>
    <n v="355.36251637499998"/>
    <n v="241.59749561549998"/>
    <m/>
    <n v="242.626821525"/>
    <n v="12.253879874999999"/>
    <m/>
    <n v="1519.4811044999999"/>
    <n v="5636.7847425"/>
    <n v="597.75023780487754"/>
    <n v="0"/>
  </r>
  <r>
    <x v="6"/>
    <x v="5"/>
    <s v="Delete??"/>
    <m/>
    <m/>
    <m/>
    <s v="C"/>
    <s v="CY"/>
    <s v="A"/>
    <n v="0.47499999999999998"/>
    <m/>
    <m/>
    <x v="3"/>
    <s v="11BBC3"/>
    <x v="1"/>
    <s v="2191"/>
    <s v="684000"/>
    <m/>
    <m/>
    <n v="0.5"/>
    <n v="18188.187000000002"/>
    <n v="9094.0935000000009"/>
    <n v="899.02389522300007"/>
    <n v="9993.1173952230001"/>
    <m/>
    <m/>
    <m/>
    <m/>
    <m/>
    <m/>
    <n v="672.96291900000006"/>
    <n v="131.86435575000002"/>
    <n v="89.649573723000017"/>
    <m/>
    <m/>
    <n v="4.5470467500000007"/>
    <m/>
    <m/>
    <m/>
    <n v="221.80715853658512"/>
    <n v="0"/>
  </r>
  <r>
    <x v="3"/>
    <x v="3"/>
    <s v="@00412898"/>
    <s v="Teasdale, David G."/>
    <s v="J"/>
    <n v="12"/>
    <s v="M"/>
    <s v="M2"/>
    <s v="A"/>
    <n v="1"/>
    <n v="100"/>
    <n v="1"/>
    <x v="3"/>
    <s v="11BBC3"/>
    <x v="1"/>
    <s v="2110"/>
    <s v="684000"/>
    <m/>
    <m/>
    <n v="0.05"/>
    <n v="144210.15"/>
    <n v="7210.5074999999997"/>
    <n v="3313.3250640892752"/>
    <n v="10523.832564089274"/>
    <n v="11.16"/>
    <n v="4.29"/>
    <n v="809.40000000000009"/>
    <n v="64.833596654275084"/>
    <m/>
    <n v="141.32594699999999"/>
    <m/>
    <n v="104.55235875"/>
    <n v="71.081182935000001"/>
    <m/>
    <n v="32.670000000000009"/>
    <n v="3.6052537500000001"/>
    <m/>
    <n v="411.99"/>
    <n v="1658.416725"/>
    <n v="0"/>
    <n v="175.86603658536569"/>
  </r>
  <r>
    <x v="9"/>
    <x v="8"/>
    <s v="@00003639"/>
    <s v="Casagrande, Richard M."/>
    <s v="H"/>
    <n v="4"/>
    <s v="M"/>
    <s v="M2"/>
    <s v="A"/>
    <n v="1"/>
    <n v="100"/>
    <n v="1"/>
    <x v="3"/>
    <s v="11BBC3"/>
    <x v="1"/>
    <s v="2191"/>
    <s v="684000"/>
    <m/>
    <m/>
    <n v="1"/>
    <n v="101553.54"/>
    <n v="101553.54"/>
    <n v="52615.572894405501"/>
    <n v="154169.11289440549"/>
    <n v="223.2"/>
    <n v="85.8"/>
    <n v="16188"/>
    <n v="1296.6719330855017"/>
    <m/>
    <n v="1990.4493839999998"/>
    <m/>
    <n v="1472.5263299999999"/>
    <n v="1001.11479732"/>
    <m/>
    <n v="653.40000000000009"/>
    <n v="50.776769999999999"/>
    <m/>
    <n v="6296.3194799999992"/>
    <n v="23357.314200000001"/>
    <n v="0"/>
    <n v="2476.9156097560917"/>
  </r>
  <r>
    <x v="10"/>
    <x v="9"/>
    <s v="@00058294"/>
    <s v="Horton, Genevieve T."/>
    <s v="445"/>
    <n v="6"/>
    <s v="C"/>
    <s v="CA"/>
    <s v="A"/>
    <n v="1"/>
    <n v="100"/>
    <n v="1"/>
    <x v="4"/>
    <s v="11BWD1"/>
    <x v="1"/>
    <s v="2191"/>
    <s v="684000"/>
    <m/>
    <m/>
    <n v="0.5"/>
    <n v="59720.639999999999"/>
    <n v="29860.32"/>
    <n v="19239.196681102752"/>
    <n v="49099.516681102752"/>
    <n v="111.6"/>
    <n v="42.9"/>
    <n v="8094"/>
    <n v="648.33596654275084"/>
    <m/>
    <n v="585.26227199999994"/>
    <m/>
    <n v="432.97464000000002"/>
    <n v="294.36303456000002"/>
    <m/>
    <n v="295.61716800000005"/>
    <n v="14.930160000000001"/>
    <m/>
    <n v="1851.3398399999999"/>
    <n v="6867.8735999999999"/>
    <n v="728.30048780487414"/>
    <n v="0"/>
  </r>
  <r>
    <x v="11"/>
    <x v="10"/>
    <s v="@00597540"/>
    <s v="Goode, Jared J."/>
    <s v="375"/>
    <n v="3"/>
    <s v="C"/>
    <s v="CA"/>
    <s v="A"/>
    <n v="1"/>
    <n v="100"/>
    <n v="1"/>
    <x v="4"/>
    <s v="D01CO2"/>
    <x v="2"/>
    <s v="2191"/>
    <s v="677040"/>
    <m/>
    <m/>
    <n v="1"/>
    <n v="39248.160000000003"/>
    <n v="39248.160000000003"/>
    <n v="31387.586134365505"/>
    <n v="70635.746134365501"/>
    <n v="223.2"/>
    <n v="85.8"/>
    <n v="16188"/>
    <n v="1296.6719330855017"/>
    <m/>
    <n v="769.26393600000006"/>
    <m/>
    <n v="569.09832000000006"/>
    <n v="386.90836128000007"/>
    <m/>
    <n v="388.55678400000005"/>
    <n v="19.624080000000003"/>
    <m/>
    <n v="2433.3859200000002"/>
    <n v="9027.0768000000007"/>
    <n v="957.27219512195006"/>
    <n v="0"/>
  </r>
  <r>
    <x v="12"/>
    <x v="11"/>
    <s v="@00380380"/>
    <s v="Orozco Jr, Ricardo"/>
    <s v="410"/>
    <n v="2"/>
    <s v="C"/>
    <s v="CA"/>
    <s v="A"/>
    <n v="1"/>
    <n v="100"/>
    <n v="1"/>
    <x v="4"/>
    <s v="D01CO2"/>
    <x v="2"/>
    <s v="2191"/>
    <s v="677010"/>
    <m/>
    <m/>
    <n v="1"/>
    <n v="45515.76"/>
    <n v="45515.76"/>
    <n v="33558.419535165507"/>
    <n v="79074.179535165516"/>
    <n v="223.2"/>
    <n v="85.8"/>
    <n v="16188"/>
    <n v="1296.6719330855017"/>
    <m/>
    <n v="892.10889599999996"/>
    <m/>
    <n v="659.97852000000012"/>
    <n v="448.69436208000002"/>
    <m/>
    <n v="450.60602400000005"/>
    <n v="22.75788"/>
    <m/>
    <n v="2821.97712"/>
    <n v="10468.624800000001"/>
    <n v="1110.1404878048706"/>
    <n v="0"/>
  </r>
  <r>
    <x v="13"/>
    <x v="12"/>
    <s v="@00000269"/>
    <s v="Boyles, Pamela K."/>
    <s v="04"/>
    <n v="15"/>
    <s v="N"/>
    <s v="N1"/>
    <s v="A"/>
    <n v="1"/>
    <n v="100"/>
    <n v="1"/>
    <x v="4"/>
    <s v="140HR0"/>
    <x v="3"/>
    <s v="1251"/>
    <s v="673000"/>
    <m/>
    <m/>
    <n v="0.3"/>
    <n v="125015.23"/>
    <n v="37504.568999999996"/>
    <n v="13220.46709332765"/>
    <n v="50725.036093327646"/>
    <m/>
    <n v="25.74"/>
    <n v="4971.5999999999995"/>
    <n v="389.0015799256505"/>
    <m/>
    <n v="735.08955239999989"/>
    <m/>
    <n v="543.81625050000002"/>
    <n v="369.72004120199995"/>
    <m/>
    <n v="196.02"/>
    <n v="18.752284499999998"/>
    <n v="5970.7273847999995"/>
    <m/>
    <m/>
    <n v="0"/>
    <n v="0"/>
  </r>
  <r>
    <x v="14"/>
    <x v="12"/>
    <s v="@00054526"/>
    <s v="Tatum, Ann M."/>
    <s v="04"/>
    <n v="15"/>
    <s v="I"/>
    <s v="I1"/>
    <s v="A"/>
    <n v="1"/>
    <n v="100"/>
    <n v="1"/>
    <x v="4"/>
    <s v="140HR0"/>
    <x v="3"/>
    <s v="1251"/>
    <s v="673000"/>
    <m/>
    <m/>
    <n v="0.2"/>
    <n v="125015.23"/>
    <n v="25003.046000000002"/>
    <n v="8813.6447288851014"/>
    <n v="33816.690728885107"/>
    <m/>
    <n v="17.16"/>
    <n v="3314.4"/>
    <n v="259.33438661710034"/>
    <m/>
    <n v="490.05970160000004"/>
    <m/>
    <n v="362.54416700000007"/>
    <n v="246.48002746800003"/>
    <m/>
    <n v="130.68000000000004"/>
    <n v="12.501523000000001"/>
    <n v="3980.4849232000006"/>
    <m/>
    <m/>
    <n v="0"/>
    <n v="0"/>
  </r>
  <r>
    <x v="15"/>
    <x v="13"/>
    <s v="@00409473"/>
    <s v="Vasquez, Laura J."/>
    <s v="02"/>
    <n v="13"/>
    <s v="I"/>
    <s v="I1"/>
    <s v="A"/>
    <n v="1"/>
    <n v="100"/>
    <n v="1"/>
    <x v="4"/>
    <s v="140HR0"/>
    <x v="3"/>
    <s v="1251"/>
    <s v="601000"/>
    <m/>
    <s v="CI"/>
    <n v="0.2"/>
    <n v="103930.05"/>
    <n v="20786.010000000002"/>
    <n v="7954.8116111971003"/>
    <n v="28740.821611197101"/>
    <m/>
    <n v="17.16"/>
    <n v="3314.4"/>
    <n v="259.33438661710034"/>
    <m/>
    <n v="407.40579600000001"/>
    <m/>
    <n v="301.39714500000002"/>
    <n v="204.90848658000002"/>
    <m/>
    <n v="130.68000000000004"/>
    <n v="10.393005"/>
    <n v="3309.1327920000003"/>
    <m/>
    <m/>
    <n v="0"/>
    <n v="0"/>
  </r>
  <r>
    <x v="16"/>
    <x v="14"/>
    <s v="@00425782"/>
    <s v="Crow, Matthew"/>
    <s v="03"/>
    <n v="15"/>
    <s v="I"/>
    <s v="I1"/>
    <s v="A"/>
    <n v="1"/>
    <n v="100"/>
    <n v="1"/>
    <x v="4"/>
    <s v="140HR0"/>
    <x v="3"/>
    <s v="1251"/>
    <s v="679000"/>
    <m/>
    <s v="CI"/>
    <n v="0.5"/>
    <n v="116835.36"/>
    <n v="58417.68"/>
    <n v="21201.16383998275"/>
    <n v="79618.843839982757"/>
    <m/>
    <n v="42.9"/>
    <n v="8286"/>
    <n v="648.33596654275084"/>
    <m/>
    <n v="1144.9865279999999"/>
    <m/>
    <n v="847.05636000000004"/>
    <n v="575.88148944"/>
    <m/>
    <n v="326.70000000000005"/>
    <n v="29.208840000000002"/>
    <n v="9300.0946560000011"/>
    <m/>
    <m/>
    <n v="0"/>
    <n v="0"/>
  </r>
  <r>
    <x v="17"/>
    <x v="15"/>
    <s v="@00003300"/>
    <s v="Arnold, Michael W."/>
    <s v="540"/>
    <n v="15"/>
    <s v="C"/>
    <s v="CA"/>
    <s v="A"/>
    <n v="1"/>
    <n v="100"/>
    <n v="1"/>
    <x v="4"/>
    <s v="133II0"/>
    <x v="4"/>
    <s v="2191"/>
    <s v="678000"/>
    <m/>
    <m/>
    <n v="1"/>
    <n v="119232.03"/>
    <n v="119232.03"/>
    <n v="58743.642282825502"/>
    <n v="177975.67228282552"/>
    <n v="223.2"/>
    <n v="85.8"/>
    <n v="16188"/>
    <n v="1296.6719330855017"/>
    <n v="180"/>
    <n v="2336.9477879999999"/>
    <m/>
    <n v="1728.864435"/>
    <n v="1175.3893517399999"/>
    <m/>
    <n v="653.40000000000009"/>
    <n v="59.616014999999997"/>
    <m/>
    <n v="7392.3858600000003"/>
    <n v="27423.366900000001"/>
    <n v="0"/>
    <n v="0"/>
  </r>
  <r>
    <x v="18"/>
    <x v="16"/>
    <s v="@00004260"/>
    <s v="Chiang, Charley C."/>
    <s v="530"/>
    <n v="15"/>
    <s v="C"/>
    <s v="CA"/>
    <s v="A"/>
    <n v="1"/>
    <n v="100"/>
    <n v="1"/>
    <x v="4"/>
    <s v="132EA0"/>
    <x v="4"/>
    <s v="2191"/>
    <s v="678000"/>
    <m/>
    <m/>
    <n v="1"/>
    <n v="113486.8"/>
    <n v="113486.8"/>
    <n v="56630.613687485507"/>
    <n v="170117.4136874855"/>
    <n v="223.2"/>
    <n v="85.8"/>
    <n v="16188"/>
    <n v="1296.6719330855017"/>
    <m/>
    <n v="2224.3412800000001"/>
    <m/>
    <n v="1645.5586000000001"/>
    <n v="1118.7528744000001"/>
    <m/>
    <n v="653.40000000000009"/>
    <n v="56.743400000000001"/>
    <m/>
    <n v="7036.1815999999999"/>
    <n v="26101.964000000004"/>
    <n v="0"/>
    <n v="0"/>
  </r>
  <r>
    <x v="19"/>
    <x v="17"/>
    <s v="@00650501"/>
    <s v="Raboy, Michael"/>
    <s v="515"/>
    <n v="4"/>
    <s v="C"/>
    <s v="CA"/>
    <s v="A"/>
    <n v="1"/>
    <n v="100"/>
    <n v="1"/>
    <x v="4"/>
    <s v="132EA0"/>
    <x v="4"/>
    <s v="2191"/>
    <s v="678000"/>
    <m/>
    <m/>
    <n v="1"/>
    <n v="80317.679999999993"/>
    <n v="80317.679999999993"/>
    <n v="45470.597910525503"/>
    <n v="125788.2779105255"/>
    <n v="223.2"/>
    <n v="85.8"/>
    <n v="16188"/>
    <n v="1296.6719330855017"/>
    <m/>
    <n v="1574.2265279999999"/>
    <m/>
    <n v="1164.60636"/>
    <n v="791.77168943999993"/>
    <m/>
    <n v="653.40000000000009"/>
    <n v="40.158839999999998"/>
    <m/>
    <n v="4979.6961599999995"/>
    <n v="18473.0664"/>
    <n v="1958.9678048780479"/>
    <n v="0"/>
  </r>
  <r>
    <x v="20"/>
    <x v="0"/>
    <s v="@00456143"/>
    <s v="Zorrilla, Claribeth"/>
    <s v="410"/>
    <n v="2"/>
    <s v="C"/>
    <s v="CA"/>
    <s v="A"/>
    <n v="1"/>
    <n v="100"/>
    <n v="1"/>
    <x v="4"/>
    <s v="122BS3"/>
    <x v="0"/>
    <s v="2191"/>
    <s v="672000"/>
    <m/>
    <m/>
    <n v="1"/>
    <n v="45515.76"/>
    <n v="45515.76"/>
    <n v="33558.419535165507"/>
    <n v="79074.179535165516"/>
    <n v="223.2"/>
    <n v="85.8"/>
    <n v="16188"/>
    <n v="1296.6719330855017"/>
    <m/>
    <n v="892.10889599999996"/>
    <m/>
    <n v="659.97852000000012"/>
    <n v="448.69436208000002"/>
    <m/>
    <n v="450.60602400000005"/>
    <n v="22.75788"/>
    <m/>
    <n v="2821.97712"/>
    <n v="10468.624800000001"/>
    <n v="1110.1404878048706"/>
    <n v="0"/>
  </r>
  <r>
    <x v="21"/>
    <x v="0"/>
    <s v="@00121146"/>
    <s v="Peters, Jacqueline D."/>
    <s v="410"/>
    <n v="7"/>
    <s v="C"/>
    <s v="CA"/>
    <s v="A"/>
    <n v="1"/>
    <n v="100"/>
    <n v="1"/>
    <x v="4"/>
    <s v="122BS4"/>
    <x v="0"/>
    <s v="2191"/>
    <s v="672000"/>
    <m/>
    <m/>
    <n v="1"/>
    <n v="51496.92"/>
    <n v="51496.92"/>
    <n v="35630.042150445501"/>
    <n v="87126.962150445499"/>
    <n v="223.2"/>
    <n v="85.8"/>
    <n v="16188"/>
    <n v="1296.6719330855017"/>
    <m/>
    <n v="1009.3396319999999"/>
    <m/>
    <n v="746.70533999999998"/>
    <n v="507.65663735999999"/>
    <m/>
    <n v="509.81950800000004"/>
    <n v="25.748459999999998"/>
    <m/>
    <n v="3192.8090400000001"/>
    <n v="11844.2916"/>
    <n v="1256.0224390243893"/>
    <n v="0"/>
  </r>
  <r>
    <x v="22"/>
    <x v="18"/>
    <s v="@00057669"/>
    <s v="Banducci, Gina D."/>
    <s v="445"/>
    <n v="4"/>
    <s v="C"/>
    <s v="CA"/>
    <s v="A"/>
    <n v="1"/>
    <n v="100"/>
    <n v="1"/>
    <x v="4"/>
    <s v="140HR0"/>
    <x v="3"/>
    <s v="2191"/>
    <s v="673000"/>
    <m/>
    <m/>
    <n v="1"/>
    <n v="56843.040000000001"/>
    <n v="56843.040000000001"/>
    <n v="37481.7135814055"/>
    <n v="94324.753581405501"/>
    <n v="223.2"/>
    <n v="85.8"/>
    <n v="16188"/>
    <n v="1296.6719330855017"/>
    <m/>
    <n v="1114.1235839999999"/>
    <m/>
    <n v="824.22408000000007"/>
    <n v="560.35868832000006"/>
    <m/>
    <n v="562.74609600000008"/>
    <n v="28.421520000000001"/>
    <m/>
    <n v="3524.2684800000002"/>
    <n v="13073.899200000002"/>
    <n v="1386.4156097560917"/>
    <n v="0"/>
  </r>
  <r>
    <x v="23"/>
    <x v="0"/>
    <s v="@00300770"/>
    <s v="Medina, Ivan"/>
    <s v="410"/>
    <n v="4"/>
    <s v="C"/>
    <s v="CA"/>
    <s v="A"/>
    <n v="1"/>
    <n v="100"/>
    <n v="1"/>
    <x v="4"/>
    <s v="122BS6"/>
    <x v="0"/>
    <s v="2191"/>
    <s v="672000"/>
    <m/>
    <m/>
    <n v="1"/>
    <n v="47820"/>
    <n v="47820"/>
    <n v="34356.511493085505"/>
    <n v="82176.511493085505"/>
    <n v="223.2"/>
    <n v="85.8"/>
    <n v="16188"/>
    <n v="1296.6719330855017"/>
    <m/>
    <n v="937.27199999999993"/>
    <m/>
    <n v="693.39"/>
    <n v="471.40956"/>
    <m/>
    <n v="473.41800000000006"/>
    <n v="23.91"/>
    <m/>
    <n v="2964.84"/>
    <n v="10998.6"/>
    <n v="1166.341463414632"/>
    <n v="0"/>
  </r>
  <r>
    <x v="24"/>
    <x v="19"/>
    <s v="@00603122"/>
    <s v="Heredia, Enrique L."/>
    <n v="465"/>
    <n v="4"/>
    <s v="C"/>
    <s v="CA"/>
    <s v="A"/>
    <n v="1"/>
    <n v="100"/>
    <n v="1"/>
    <x v="4"/>
    <s v="122BS2"/>
    <x v="0"/>
    <s v="2191"/>
    <s v="672000"/>
    <m/>
    <m/>
    <n v="1"/>
    <n v="62744.04"/>
    <n v="62744.04"/>
    <n v="39525.5721394055"/>
    <n v="102269.61213940551"/>
    <n v="223.2"/>
    <n v="85.8"/>
    <n v="16188"/>
    <n v="1296.6719330855017"/>
    <m/>
    <n v="1229.7831839999999"/>
    <m/>
    <n v="909.78858000000002"/>
    <n v="618.53074632000005"/>
    <m/>
    <n v="621.16599600000006"/>
    <n v="31.372020000000003"/>
    <m/>
    <n v="3890.1304799999998"/>
    <n v="14431.129200000001"/>
    <n v="1530.3424390243817"/>
    <n v="0"/>
  </r>
  <r>
    <x v="25"/>
    <x v="7"/>
    <s v="@00038363"/>
    <s v="Melendez, Lupe I."/>
    <s v="380"/>
    <n v="7"/>
    <s v="C"/>
    <s v="CA"/>
    <s v="A"/>
    <n v="1"/>
    <n v="100"/>
    <n v="1"/>
    <x v="4"/>
    <s v="D01CO2"/>
    <x v="2"/>
    <s v="2191"/>
    <s v="660010"/>
    <m/>
    <m/>
    <n v="1"/>
    <n v="44405.64"/>
    <n v="44405.64"/>
    <n v="33173.920592205497"/>
    <n v="77579.560592205497"/>
    <n v="223.2"/>
    <n v="85.8"/>
    <n v="16188"/>
    <n v="1296.6719330855017"/>
    <m/>
    <n v="870.35054400000001"/>
    <m/>
    <n v="643.88178000000005"/>
    <n v="437.75079912000001"/>
    <m/>
    <n v="439.61583600000006"/>
    <n v="22.202819999999999"/>
    <m/>
    <n v="2753.14968"/>
    <n v="10213.297200000001"/>
    <n v="1083.0643902438969"/>
    <n v="0"/>
  </r>
  <r>
    <x v="26"/>
    <x v="0"/>
    <s v="@00000414"/>
    <s v="Gonzalez, Julia A."/>
    <s v="410"/>
    <n v="15"/>
    <s v="C"/>
    <s v="CA"/>
    <s v="A"/>
    <n v="1"/>
    <n v="100"/>
    <n v="1"/>
    <x v="4"/>
    <s v="122BS7"/>
    <x v="0"/>
    <s v="2191"/>
    <s v="672000"/>
    <m/>
    <m/>
    <n v="1"/>
    <n v="62744.04"/>
    <n v="62744.04"/>
    <n v="39525.5721394055"/>
    <n v="102269.61213940551"/>
    <n v="223.2"/>
    <n v="85.8"/>
    <n v="16188"/>
    <n v="1296.6719330855017"/>
    <m/>
    <n v="1229.7831839999999"/>
    <m/>
    <n v="909.78858000000002"/>
    <n v="618.53074632000005"/>
    <m/>
    <n v="621.16599600000006"/>
    <n v="31.372020000000003"/>
    <m/>
    <n v="3890.1304799999998"/>
    <n v="14431.129200000001"/>
    <n v="0"/>
    <n v="0"/>
  </r>
  <r>
    <x v="27"/>
    <x v="0"/>
    <s v="@00211959"/>
    <s v="Allen, Rachel R."/>
    <s v="410"/>
    <n v="8"/>
    <s v="C"/>
    <s v="CA"/>
    <s v="A"/>
    <n v="1"/>
    <n v="100"/>
    <n v="1"/>
    <x v="4"/>
    <s v="122BS3"/>
    <x v="0"/>
    <s v="2191"/>
    <s v="672000"/>
    <m/>
    <m/>
    <n v="1"/>
    <n v="52784.4"/>
    <n v="52784.4"/>
    <n v="36075.971148285498"/>
    <n v="88860.3711482855"/>
    <n v="223.2"/>
    <n v="85.8"/>
    <n v="16188"/>
    <n v="1296.6719330855017"/>
    <m/>
    <n v="1034.5742399999999"/>
    <m/>
    <n v="765.37380000000007"/>
    <n v="520.34861520000004"/>
    <m/>
    <n v="522.56556"/>
    <n v="26.392200000000003"/>
    <m/>
    <n v="3272.6327999999999"/>
    <n v="12140.412"/>
    <n v="1287.4243902438975"/>
    <n v="0"/>
  </r>
  <r>
    <x v="28"/>
    <x v="17"/>
    <s v="@00538679"/>
    <s v="Roopawala, Juzar A."/>
    <s v="515"/>
    <n v="13"/>
    <s v="C"/>
    <s v="CA"/>
    <s v="A"/>
    <n v="1"/>
    <n v="100"/>
    <n v="1"/>
    <x v="4"/>
    <s v="132EA0"/>
    <x v="4"/>
    <s v="2191"/>
    <s v="678000"/>
    <m/>
    <m/>
    <n v="1"/>
    <n v="100305.72"/>
    <n v="100305.72"/>
    <n v="52195.7338728455"/>
    <n v="152501.45387284551"/>
    <n v="223.2"/>
    <n v="85.8"/>
    <n v="16188"/>
    <n v="1296.6719330855017"/>
    <m/>
    <n v="1965.9921119999999"/>
    <m/>
    <n v="1454.4329400000001"/>
    <n v="988.81378776000008"/>
    <m/>
    <n v="653.40000000000009"/>
    <n v="50.152860000000004"/>
    <m/>
    <n v="6218.9546399999999"/>
    <n v="23070.315600000002"/>
    <n v="2446.4809756097529"/>
    <n v="0"/>
  </r>
  <r>
    <x v="29"/>
    <x v="20"/>
    <s v="@00131490"/>
    <s v="Taylor, Kenneth J."/>
    <s v="510"/>
    <n v="6"/>
    <s v="C"/>
    <s v="CA"/>
    <s v="A"/>
    <n v="1"/>
    <n v="100"/>
    <n v="1"/>
    <x v="4"/>
    <s v="133II0"/>
    <x v="4"/>
    <s v="2191"/>
    <s v="678000"/>
    <m/>
    <m/>
    <n v="1"/>
    <n v="82325.64"/>
    <n v="82325.64"/>
    <n v="46146.192116205508"/>
    <n v="128471.83211620551"/>
    <n v="223.2"/>
    <n v="85.8"/>
    <n v="16188"/>
    <n v="1296.6719330855017"/>
    <m/>
    <n v="1613.5825439999999"/>
    <m/>
    <n v="1193.7217800000001"/>
    <n v="811.56615912000007"/>
    <m/>
    <n v="653.40000000000009"/>
    <n v="41.162820000000004"/>
    <m/>
    <n v="5104.1896799999995"/>
    <n v="18934.897199999999"/>
    <n v="2007.9424390243803"/>
    <n v="0"/>
  </r>
  <r>
    <x v="30"/>
    <x v="21"/>
    <s v="@00004665"/>
    <s v="Galvez, Marco V."/>
    <s v="515"/>
    <n v="15"/>
    <s v="C"/>
    <s v="CA"/>
    <s v="A"/>
    <n v="1"/>
    <n v="100"/>
    <n v="1"/>
    <x v="4"/>
    <s v="131IS0"/>
    <x v="4"/>
    <s v="2191"/>
    <s v="678000"/>
    <m/>
    <m/>
    <n v="1"/>
    <n v="105383.75"/>
    <n v="105383.75"/>
    <n v="53904.277690585499"/>
    <n v="159288.0276905855"/>
    <n v="223.2"/>
    <n v="85.8"/>
    <n v="16188"/>
    <n v="1296.6719330855017"/>
    <m/>
    <n v="2065.5214999999998"/>
    <m/>
    <n v="1528.0643750000002"/>
    <n v="1038.8730075000001"/>
    <m/>
    <n v="653.40000000000009"/>
    <n v="52.691875000000003"/>
    <m/>
    <n v="6533.7924999999996"/>
    <n v="24238.262500000001"/>
    <n v="0"/>
    <n v="0"/>
  </r>
  <r>
    <x v="31"/>
    <x v="22"/>
    <s v="@00243820"/>
    <s v="Ding, Suyun"/>
    <s v="540"/>
    <n v="15"/>
    <s v="C"/>
    <s v="CA"/>
    <s v="A"/>
    <n v="1"/>
    <n v="100"/>
    <n v="1"/>
    <x v="4"/>
    <s v="133II0"/>
    <x v="4"/>
    <s v="2191"/>
    <s v="678000"/>
    <m/>
    <m/>
    <n v="1"/>
    <n v="119232.03"/>
    <n v="119232.03"/>
    <n v="58743.642282825502"/>
    <n v="177975.67228282552"/>
    <n v="223.2"/>
    <n v="85.8"/>
    <n v="16188"/>
    <n v="1296.6719330855017"/>
    <n v="180"/>
    <n v="2336.9477879999999"/>
    <m/>
    <n v="1728.864435"/>
    <n v="1175.3893517399999"/>
    <m/>
    <n v="653.40000000000009"/>
    <n v="59.616014999999997"/>
    <m/>
    <n v="7392.3858600000003"/>
    <n v="27423.366900000001"/>
    <n v="0"/>
    <n v="0"/>
  </r>
  <r>
    <x v="32"/>
    <x v="9"/>
    <s v="@00003172"/>
    <s v="Munoz, Cynthia"/>
    <s v="445"/>
    <n v="15"/>
    <s v="C"/>
    <s v="CA"/>
    <s v="A"/>
    <n v="1"/>
    <n v="100"/>
    <n v="1"/>
    <x v="4"/>
    <s v="130IT0"/>
    <x v="4"/>
    <s v="2191"/>
    <s v="678000"/>
    <m/>
    <m/>
    <n v="1"/>
    <n v="74582.880000000005"/>
    <n v="74582.880000000005"/>
    <n v="43541.078572125509"/>
    <n v="118123.95857212551"/>
    <n v="223.2"/>
    <n v="85.8"/>
    <n v="16188"/>
    <n v="1296.6719330855017"/>
    <m/>
    <n v="1461.8244480000001"/>
    <m/>
    <n v="1081.4517600000001"/>
    <n v="735.23803104000012"/>
    <m/>
    <n v="653.40000000000009"/>
    <n v="37.291440000000001"/>
    <m/>
    <n v="4624.1385600000003"/>
    <n v="17154.062400000003"/>
    <n v="0"/>
    <n v="0"/>
  </r>
  <r>
    <x v="33"/>
    <x v="17"/>
    <m/>
    <s v="Vacant"/>
    <m/>
    <m/>
    <s v="C"/>
    <s v="CA"/>
    <s v="A"/>
    <n v="1"/>
    <m/>
    <m/>
    <x v="4"/>
    <s v="132EA0"/>
    <x v="4"/>
    <s v="2191"/>
    <s v="678000"/>
    <m/>
    <m/>
    <n v="1"/>
    <n v="74582.880000000005"/>
    <n v="74582.880000000005"/>
    <n v="43541.078572125509"/>
    <n v="118123.95857212551"/>
    <n v="223.2"/>
    <n v="85.8"/>
    <n v="16188"/>
    <n v="1296.6719330855017"/>
    <m/>
    <n v="1461.8244480000001"/>
    <m/>
    <n v="1081.4517600000001"/>
    <n v="735.23803104000012"/>
    <m/>
    <n v="653.40000000000009"/>
    <n v="37.291440000000001"/>
    <m/>
    <n v="4624.1385600000003"/>
    <n v="17154.062400000003"/>
    <n v="1819.0946341463423"/>
    <n v="0"/>
  </r>
  <r>
    <x v="34"/>
    <x v="23"/>
    <s v="@00631441"/>
    <s v="Wallace, Justin M."/>
    <s v="525"/>
    <n v="2"/>
    <s v="C"/>
    <s v="CA"/>
    <s v="A"/>
    <n v="1"/>
    <n v="100"/>
    <n v="1"/>
    <x v="4"/>
    <s v="133II0"/>
    <x v="4"/>
    <s v="2191"/>
    <s v="678000"/>
    <m/>
    <m/>
    <n v="1"/>
    <n v="80317.726800000004"/>
    <n v="80317.726800000004"/>
    <n v="45470.613656759902"/>
    <n v="125788.34045675991"/>
    <n v="223.2"/>
    <n v="85.8"/>
    <n v="16188"/>
    <n v="1296.6719330855017"/>
    <m/>
    <n v="1574.22744528"/>
    <m/>
    <n v="1164.6070386000001"/>
    <n v="791.77215079440009"/>
    <m/>
    <n v="653.40000000000009"/>
    <n v="40.158863400000001"/>
    <m/>
    <n v="4979.6990616000003"/>
    <n v="18473.077164000002"/>
    <n v="1958.9689463414543"/>
    <n v="0"/>
  </r>
  <r>
    <x v="35"/>
    <x v="16"/>
    <s v="@00257242"/>
    <s v="Tully, Brian A."/>
    <s v="530"/>
    <n v="14"/>
    <s v="C"/>
    <s v="CA"/>
    <s v="A"/>
    <n v="1"/>
    <n v="100"/>
    <n v="1"/>
    <x v="4"/>
    <s v="132EA0"/>
    <x v="4"/>
    <s v="2191"/>
    <s v="678000"/>
    <m/>
    <m/>
    <n v="1"/>
    <n v="110718.84"/>
    <n v="110718.84"/>
    <n v="55699.311401805506"/>
    <n v="166418.15140180552"/>
    <n v="223.2"/>
    <n v="85.8"/>
    <n v="16188"/>
    <n v="1296.6719330855017"/>
    <m/>
    <n v="2170.0892639999997"/>
    <m/>
    <n v="1605.42318"/>
    <n v="1091.4663247200001"/>
    <m/>
    <n v="653.40000000000009"/>
    <n v="55.35942"/>
    <m/>
    <n v="6864.56808"/>
    <n v="25465.333200000001"/>
    <n v="2700.4595121951133"/>
    <n v="0"/>
  </r>
  <r>
    <x v="36"/>
    <x v="24"/>
    <s v="@00000243"/>
    <s v="Bowman, Carl N."/>
    <s v="540"/>
    <n v="15"/>
    <s v="C"/>
    <s v="CA"/>
    <s v="A"/>
    <n v="1"/>
    <n v="100"/>
    <n v="1"/>
    <x v="4"/>
    <s v="132EA0"/>
    <x v="4"/>
    <s v="2191"/>
    <s v="678000"/>
    <m/>
    <m/>
    <n v="1"/>
    <n v="119232"/>
    <n v="119232"/>
    <n v="58743.632189085503"/>
    <n v="177975.6321890855"/>
    <n v="223.2"/>
    <n v="85.8"/>
    <n v="16188"/>
    <n v="1296.6719330855017"/>
    <n v="180"/>
    <n v="2336.9472000000001"/>
    <m/>
    <n v="1728.864"/>
    <n v="1175.389056"/>
    <m/>
    <n v="653.40000000000009"/>
    <n v="59.616"/>
    <m/>
    <n v="7392.384"/>
    <n v="27423.360000000001"/>
    <n v="0"/>
    <n v="0"/>
  </r>
  <r>
    <x v="37"/>
    <x v="25"/>
    <s v="@00218524"/>
    <s v="Porreco, Jennie E."/>
    <s v="425"/>
    <n v="15"/>
    <s v="C"/>
    <s v="CA"/>
    <s v="A"/>
    <n v="1"/>
    <n v="100"/>
    <n v="1"/>
    <x v="4"/>
    <s v="145HR4"/>
    <x v="3"/>
    <s v="2191"/>
    <s v="673000"/>
    <m/>
    <m/>
    <n v="1"/>
    <n v="67568.399999999994"/>
    <n v="67568.399999999994"/>
    <n v="41181.000660285499"/>
    <n v="108749.40066028549"/>
    <n v="223.2"/>
    <n v="85.8"/>
    <n v="16188"/>
    <n v="1296.6719330855017"/>
    <m/>
    <n v="1324.3406399999999"/>
    <m/>
    <n v="979.74180000000001"/>
    <n v="666.08928719999994"/>
    <m/>
    <n v="653.40000000000009"/>
    <n v="33.784199999999998"/>
    <m/>
    <n v="4189.2407999999996"/>
    <n v="15540.732"/>
    <n v="0"/>
    <n v="0"/>
  </r>
  <r>
    <x v="38"/>
    <x v="25"/>
    <s v="@00451196"/>
    <s v="Carlson, Lori D."/>
    <s v="425"/>
    <n v="7"/>
    <s v="C"/>
    <s v="CA"/>
    <s v="A"/>
    <n v="1"/>
    <n v="100"/>
    <n v="1"/>
    <x v="4"/>
    <s v="145HR3"/>
    <x v="3"/>
    <s v="2191"/>
    <s v="673000"/>
    <m/>
    <m/>
    <n v="1"/>
    <n v="55456.56"/>
    <n v="55456.56"/>
    <n v="37001.495141565494"/>
    <n v="92458.055141565492"/>
    <n v="223.2"/>
    <n v="85.8"/>
    <n v="16188"/>
    <n v="1296.6719330855017"/>
    <m/>
    <n v="1086.948576"/>
    <m/>
    <n v="804.12012000000004"/>
    <n v="546.69076847999997"/>
    <m/>
    <n v="549.01994400000001"/>
    <n v="27.728279999999998"/>
    <m/>
    <n v="3438.30672"/>
    <n v="12755.0088"/>
    <n v="1352.5990243902415"/>
    <n v="0"/>
  </r>
  <r>
    <x v="39"/>
    <x v="0"/>
    <s v="@00000238"/>
    <s v="Tutop, Zenaida F."/>
    <s v="410"/>
    <n v="15"/>
    <s v="C"/>
    <s v="CA"/>
    <s v="A"/>
    <n v="1"/>
    <n v="100"/>
    <n v="1"/>
    <x v="4"/>
    <s v="122BS4"/>
    <x v="0"/>
    <s v="2191"/>
    <s v="672000"/>
    <m/>
    <m/>
    <n v="1"/>
    <n v="62744.044899999957"/>
    <n v="62744.044899999957"/>
    <n v="39525.573836559684"/>
    <n v="102269.61873655964"/>
    <n v="223.2"/>
    <n v="85.8"/>
    <n v="16188"/>
    <n v="1296.6719330855017"/>
    <m/>
    <n v="1229.7832800399992"/>
    <m/>
    <n v="909.78865104999943"/>
    <n v="618.53079462419964"/>
    <m/>
    <n v="621.16604450999967"/>
    <n v="31.372022449999978"/>
    <m/>
    <n v="3890.1307837999975"/>
    <n v="14431.130326999992"/>
    <n v="0"/>
    <n v="0"/>
  </r>
  <r>
    <x v="40"/>
    <x v="0"/>
    <s v="@00669209"/>
    <s v="Rodriguez, Priscilla"/>
    <s v="410"/>
    <n v="4"/>
    <s v="C"/>
    <s v="CA"/>
    <s v="A"/>
    <n v="1"/>
    <n v="100"/>
    <n v="1"/>
    <x v="4"/>
    <s v="122BS7"/>
    <x v="0"/>
    <s v="2191"/>
    <s v="672000"/>
    <m/>
    <m/>
    <n v="1"/>
    <n v="47820"/>
    <n v="47820"/>
    <n v="34356.511493085505"/>
    <n v="82176.511493085505"/>
    <n v="223.2"/>
    <n v="85.8"/>
    <n v="16188"/>
    <n v="1296.6719330855017"/>
    <m/>
    <n v="937.27199999999993"/>
    <m/>
    <n v="693.39"/>
    <n v="471.40956"/>
    <m/>
    <n v="473.41800000000006"/>
    <n v="23.91"/>
    <m/>
    <n v="2964.84"/>
    <n v="10998.6"/>
    <n v="1166.341463414632"/>
    <n v="0"/>
  </r>
  <r>
    <x v="41"/>
    <x v="26"/>
    <s v="@00691884"/>
    <s v="Sarabia Ortiz, Rachel R."/>
    <s v="500"/>
    <n v="5"/>
    <s v="C"/>
    <s v="CA"/>
    <s v="A"/>
    <n v="1"/>
    <n v="100"/>
    <n v="1"/>
    <x v="4"/>
    <s v="10AIR1"/>
    <x v="5"/>
    <s v="2191"/>
    <s v="679000"/>
    <m/>
    <m/>
    <n v="1"/>
    <n v="76447.570000000007"/>
    <n v="76447.570000000007"/>
    <n v="44168.468440145502"/>
    <n v="120616.03844014551"/>
    <n v="223.2"/>
    <n v="85.8"/>
    <n v="16188"/>
    <n v="1296.6719330855017"/>
    <m/>
    <n v="1498.372372"/>
    <m/>
    <n v="1108.4897650000003"/>
    <n v="753.62014506000014"/>
    <m/>
    <n v="653.40000000000009"/>
    <n v="38.223785000000007"/>
    <m/>
    <n v="4739.7493400000003"/>
    <n v="17582.941100000004"/>
    <n v="1864.5748780487775"/>
    <n v="0"/>
  </r>
  <r>
    <x v="42"/>
    <x v="17"/>
    <s v="@00254317"/>
    <s v="Carrizales, Candy"/>
    <s v="515"/>
    <n v="9"/>
    <s v="C"/>
    <s v="CA"/>
    <s v="A"/>
    <n v="1"/>
    <n v="100"/>
    <n v="1"/>
    <x v="4"/>
    <s v="132EA0"/>
    <x v="4"/>
    <s v="2191"/>
    <s v="678000"/>
    <m/>
    <m/>
    <n v="1"/>
    <n v="90872.04"/>
    <n v="90872.04"/>
    <n v="49021.696767405498"/>
    <n v="139893.7367674055"/>
    <n v="223.2"/>
    <n v="85.8"/>
    <n v="16188"/>
    <n v="1296.6719330855017"/>
    <m/>
    <n v="1781.0919839999999"/>
    <m/>
    <n v="1317.6445799999999"/>
    <n v="895.81657031999998"/>
    <m/>
    <n v="653.40000000000009"/>
    <n v="45.436019999999999"/>
    <m/>
    <n v="5634.0664799999995"/>
    <n v="20900.569199999998"/>
    <n v="2216.3912195121811"/>
    <n v="0"/>
  </r>
  <r>
    <x v="43"/>
    <x v="23"/>
    <s v="@00438182"/>
    <s v="Tusaw, Dana"/>
    <s v="525"/>
    <n v="9"/>
    <s v="C"/>
    <s v="CA"/>
    <s v="A"/>
    <n v="1"/>
    <n v="100"/>
    <n v="1"/>
    <x v="4"/>
    <s v="133II0"/>
    <x v="4"/>
    <s v="2191"/>
    <s v="678000"/>
    <m/>
    <m/>
    <n v="1"/>
    <n v="95472.431000000041"/>
    <n v="95472.431000000041"/>
    <n v="50749.535122483518"/>
    <n v="146221.96612248354"/>
    <n v="223.2"/>
    <n v="85.8"/>
    <n v="16188"/>
    <n v="1296.6719330855017"/>
    <n v="180"/>
    <n v="1871.2596476000008"/>
    <m/>
    <n v="1384.3502495000007"/>
    <n v="941.16722479800046"/>
    <m/>
    <n v="653.40000000000009"/>
    <n v="47.736215500000021"/>
    <m/>
    <n v="5919.2907220000025"/>
    <n v="21958.659130000011"/>
    <n v="2328.5958780487708"/>
    <n v="0"/>
  </r>
  <r>
    <x v="44"/>
    <x v="0"/>
    <m/>
    <m/>
    <m/>
    <m/>
    <s v="C"/>
    <s v="CA"/>
    <s v="A"/>
    <n v="1"/>
    <m/>
    <m/>
    <x v="4"/>
    <s v="122BS7"/>
    <x v="0"/>
    <s v="2191"/>
    <s v="672000"/>
    <m/>
    <m/>
    <n v="1"/>
    <n v="46653.72"/>
    <n v="46653.72"/>
    <n v="33952.561084845504"/>
    <n v="80606.281084845512"/>
    <n v="223.2"/>
    <n v="85.8"/>
    <n v="16188"/>
    <n v="1296.6719330855017"/>
    <m/>
    <n v="914.41291200000001"/>
    <m/>
    <n v="676.47894000000008"/>
    <n v="459.91237176000004"/>
    <m/>
    <n v="461.87182800000005"/>
    <n v="23.32686"/>
    <m/>
    <n v="2892.5306399999999"/>
    <n v="10730.355600000001"/>
    <n v="1137.8956097560949"/>
    <n v="0"/>
  </r>
  <r>
    <x v="45"/>
    <x v="7"/>
    <s v="@00682287"/>
    <s v="Fisher, Johanna G."/>
    <s v="380"/>
    <n v="3"/>
    <s v="C"/>
    <s v="CA"/>
    <s v="A"/>
    <n v="1"/>
    <n v="100"/>
    <n v="1"/>
    <x v="4"/>
    <s v="145HR3"/>
    <x v="3"/>
    <s v="2191"/>
    <s v="673000"/>
    <m/>
    <m/>
    <n v="1"/>
    <n v="40229.279999999999"/>
    <n v="40229.279999999999"/>
    <n v="31727.404895325504"/>
    <n v="71956.68489532551"/>
    <n v="223.2"/>
    <n v="85.8"/>
    <n v="16188"/>
    <n v="1296.6719330855017"/>
    <m/>
    <n v="788.49388799999997"/>
    <m/>
    <n v="583.32456000000002"/>
    <n v="396.58024224000002"/>
    <m/>
    <n v="398.26987200000002"/>
    <n v="20.114640000000001"/>
    <m/>
    <n v="2494.2153599999997"/>
    <n v="9252.7343999999994"/>
    <n v="981.2019512195111"/>
    <n v="0"/>
  </r>
  <r>
    <x v="46"/>
    <x v="27"/>
    <s v="@00500488"/>
    <s v="Hernandez, Veronica"/>
    <s v="315"/>
    <n v="11"/>
    <s v="C"/>
    <s v="CA"/>
    <s v="A"/>
    <n v="1"/>
    <n v="100"/>
    <n v="1"/>
    <x v="4"/>
    <s v="D01CO2"/>
    <x v="2"/>
    <s v="2191"/>
    <s v="653000"/>
    <m/>
    <m/>
    <n v="1"/>
    <n v="35556.839999999997"/>
    <n v="35556.839999999997"/>
    <n v="30109.067921805497"/>
    <n v="65665.907921805498"/>
    <n v="223.2"/>
    <n v="85.8"/>
    <n v="16188"/>
    <n v="1296.6719330855017"/>
    <m/>
    <n v="696.91406399999994"/>
    <m/>
    <n v="515.57417999999996"/>
    <n v="350.51932871999998"/>
    <m/>
    <n v="352.01271600000001"/>
    <n v="17.778419999999997"/>
    <m/>
    <n v="2204.5240799999997"/>
    <n v="8178.0731999999998"/>
    <n v="867.23999999999796"/>
    <n v="0"/>
  </r>
  <r>
    <x v="47"/>
    <x v="27"/>
    <s v="@00523592"/>
    <s v="Barajas, Jose"/>
    <s v="315"/>
    <n v="11"/>
    <s v="C"/>
    <s v="CA"/>
    <s v="A"/>
    <n v="1"/>
    <n v="100"/>
    <n v="1"/>
    <x v="4"/>
    <s v="D01CO2"/>
    <x v="2"/>
    <s v="2191"/>
    <s v="653000"/>
    <m/>
    <m/>
    <n v="1"/>
    <n v="35556.839999999997"/>
    <n v="35556.839999999997"/>
    <n v="30109.067921805497"/>
    <n v="65665.907921805498"/>
    <n v="223.2"/>
    <n v="85.8"/>
    <n v="16188"/>
    <n v="1296.6719330855017"/>
    <m/>
    <n v="696.91406399999994"/>
    <m/>
    <n v="515.57417999999996"/>
    <n v="350.51932871999998"/>
    <m/>
    <n v="352.01271600000001"/>
    <n v="17.778419999999997"/>
    <m/>
    <n v="2204.5240799999997"/>
    <n v="8178.0731999999998"/>
    <n v="867.23999999999796"/>
    <n v="0"/>
  </r>
  <r>
    <x v="48"/>
    <x v="28"/>
    <m/>
    <s v="Carlile, Danielle"/>
    <n v="465"/>
    <n v="1"/>
    <s v="C"/>
    <s v="CA"/>
    <s v="A"/>
    <n v="0"/>
    <n v="100"/>
    <n v="1"/>
    <x v="4"/>
    <s v="122BS2"/>
    <x v="0"/>
    <s v="2191"/>
    <s v="672000"/>
    <m/>
    <m/>
    <n v="1"/>
    <n v="58264.08"/>
    <n v="58264.08"/>
    <n v="37973.902153725503"/>
    <n v="96237.982153725505"/>
    <n v="223.2"/>
    <n v="85.8"/>
    <n v="16188"/>
    <n v="1296.6719330855017"/>
    <m/>
    <n v="1141.975968"/>
    <m/>
    <n v="844.82916000000012"/>
    <n v="574.36730064000005"/>
    <m/>
    <n v="576.81439200000011"/>
    <n v="29.13204"/>
    <m/>
    <n v="3612.3729600000001"/>
    <n v="13400.7384"/>
    <n v="1421.0751219512167"/>
    <n v="0"/>
  </r>
  <r>
    <x v="49"/>
    <x v="29"/>
    <s v="@00296579"/>
    <s v="Fore, Raquel D."/>
    <s v="490"/>
    <n v="4"/>
    <s v="C"/>
    <s v="CA"/>
    <s v="A"/>
    <n v="1"/>
    <n v="100"/>
    <n v="1"/>
    <x v="4"/>
    <s v="120BS1"/>
    <x v="0"/>
    <s v="2191"/>
    <s v="672000"/>
    <m/>
    <m/>
    <n v="1"/>
    <n v="70989.119999999995"/>
    <n v="70989.119999999995"/>
    <n v="42331.929270045497"/>
    <n v="113321.04927004549"/>
    <n v="223.2"/>
    <n v="85.8"/>
    <n v="16188"/>
    <n v="1296.6719330855017"/>
    <m/>
    <n v="1391.3867519999999"/>
    <m/>
    <n v="1029.3422399999999"/>
    <n v="699.81074495999997"/>
    <m/>
    <n v="653.40000000000009"/>
    <n v="35.49456"/>
    <m/>
    <n v="4401.3254399999996"/>
    <n v="16327.497599999999"/>
    <n v="1731.4419512195018"/>
    <n v="0"/>
  </r>
  <r>
    <x v="50"/>
    <x v="30"/>
    <s v="@00520702"/>
    <s v="Lucero, Juan A."/>
    <s v="510"/>
    <n v="11"/>
    <s v="C"/>
    <s v="CA"/>
    <s v="A"/>
    <n v="1"/>
    <n v="100"/>
    <n v="1"/>
    <x v="4"/>
    <s v="133II0"/>
    <x v="4"/>
    <s v="2191"/>
    <s v="678000"/>
    <m/>
    <m/>
    <n v="1"/>
    <n v="93143.88"/>
    <n v="93143.88"/>
    <n v="49786.075510125505"/>
    <n v="142929.9555101255"/>
    <n v="223.2"/>
    <n v="85.8"/>
    <n v="16188"/>
    <n v="1296.6719330855017"/>
    <m/>
    <n v="1825.620048"/>
    <m/>
    <n v="1350.58626"/>
    <n v="918.21236904000011"/>
    <m/>
    <n v="653.40000000000009"/>
    <n v="46.571940000000005"/>
    <m/>
    <n v="5774.9205600000005"/>
    <n v="21423.092400000001"/>
    <n v="2271.8019512195024"/>
    <n v="0"/>
  </r>
  <r>
    <x v="51"/>
    <x v="31"/>
    <s v="@00246023"/>
    <s v="Pryor, Karen L."/>
    <s v="445"/>
    <n v="15"/>
    <s v="C"/>
    <s v="CA"/>
    <s v="A"/>
    <n v="1"/>
    <n v="100"/>
    <n v="1"/>
    <x v="4"/>
    <s v="133II0"/>
    <x v="4"/>
    <s v="2191"/>
    <s v="678000"/>
    <m/>
    <m/>
    <n v="1"/>
    <n v="74582.880000000005"/>
    <n v="74582.880000000005"/>
    <n v="43721.078572125509"/>
    <n v="118303.95857212551"/>
    <n v="223.2"/>
    <n v="85.8"/>
    <n v="16188"/>
    <n v="1296.6719330855017"/>
    <n v="180"/>
    <n v="1461.8244480000001"/>
    <m/>
    <n v="1081.4517600000001"/>
    <n v="735.23803104000012"/>
    <m/>
    <n v="653.40000000000009"/>
    <n v="37.291440000000001"/>
    <m/>
    <n v="4624.1385600000003"/>
    <n v="17154.062400000003"/>
    <n v="0"/>
    <n v="0"/>
  </r>
  <r>
    <x v="52"/>
    <x v="32"/>
    <s v="@00256951"/>
    <s v="White, Joseph C."/>
    <s v="540"/>
    <n v="4"/>
    <s v="C"/>
    <s v="CA"/>
    <s v="A"/>
    <n v="1"/>
    <n v="100"/>
    <n v="1"/>
    <x v="4"/>
    <s v="132EA0"/>
    <x v="4"/>
    <s v="2191"/>
    <s v="678000"/>
    <m/>
    <m/>
    <n v="1"/>
    <n v="90872.04"/>
    <n v="90872.04"/>
    <n v="49021.696767405498"/>
    <n v="139893.7367674055"/>
    <n v="223.2"/>
    <n v="85.8"/>
    <n v="16188"/>
    <n v="1296.6719330855017"/>
    <m/>
    <n v="1781.0919839999999"/>
    <m/>
    <n v="1317.6445799999999"/>
    <n v="895.81657031999998"/>
    <m/>
    <n v="653.40000000000009"/>
    <n v="45.436019999999999"/>
    <m/>
    <n v="5634.0664799999995"/>
    <n v="20900.569199999998"/>
    <n v="2216.3912195121811"/>
    <n v="0"/>
  </r>
  <r>
    <x v="53"/>
    <x v="25"/>
    <s v="@00109804"/>
    <s v="Guzman, Cynthia E."/>
    <s v="425"/>
    <n v="5"/>
    <s v="C"/>
    <s v="CA"/>
    <s v="A"/>
    <n v="1"/>
    <n v="100"/>
    <n v="1"/>
    <x v="4"/>
    <s v="145HR5"/>
    <x v="3"/>
    <s v="2191"/>
    <s v="673000"/>
    <m/>
    <m/>
    <n v="1"/>
    <n v="52784.39"/>
    <n v="52784.39"/>
    <n v="36075.967684705502"/>
    <n v="88860.357684705494"/>
    <n v="223.2"/>
    <n v="85.8"/>
    <n v="16188"/>
    <n v="1296.6719330855017"/>
    <m/>
    <n v="1034.574044"/>
    <m/>
    <n v="765.37365499999999"/>
    <n v="520.34851662000005"/>
    <m/>
    <n v="522.56546100000003"/>
    <n v="26.392195000000001"/>
    <m/>
    <n v="3272.6321800000001"/>
    <n v="12140.4097"/>
    <n v="1287.4241463414583"/>
    <n v="0"/>
  </r>
  <r>
    <x v="54"/>
    <x v="0"/>
    <s v="@00549179"/>
    <s v="Raguingan, Camela"/>
    <s v="410"/>
    <n v="2"/>
    <s v="C"/>
    <s v="CA"/>
    <s v="A"/>
    <n v="1"/>
    <n v="100"/>
    <n v="1"/>
    <x v="4"/>
    <s v="122BS5"/>
    <x v="0"/>
    <s v="2191"/>
    <s v="672000"/>
    <m/>
    <m/>
    <n v="1"/>
    <n v="45515.784800000038"/>
    <n v="45515.784800000038"/>
    <n v="33558.428124843915"/>
    <n v="79074.212924843945"/>
    <n v="223.2"/>
    <n v="85.8"/>
    <n v="16188"/>
    <n v="1296.6719330855017"/>
    <m/>
    <n v="892.10938208000073"/>
    <m/>
    <n v="659.9788796000006"/>
    <n v="448.69460655840038"/>
    <m/>
    <n v="450.60626952000041"/>
    <n v="22.757892400000021"/>
    <m/>
    <n v="2821.9786576000024"/>
    <n v="10468.63050400001"/>
    <n v="1110.1410926829267"/>
    <n v="0"/>
  </r>
  <r>
    <x v="55"/>
    <x v="26"/>
    <s v="@00277994"/>
    <s v="Castro, Alexandro"/>
    <s v="500"/>
    <n v="7"/>
    <s v="C"/>
    <s v="CA"/>
    <s v="A"/>
    <n v="1"/>
    <n v="100"/>
    <n v="1"/>
    <x v="4"/>
    <s v="10AIR1"/>
    <x v="5"/>
    <s v="2191"/>
    <s v="679000"/>
    <m/>
    <m/>
    <n v="1"/>
    <n v="80317.679999999993"/>
    <n v="80317.679999999993"/>
    <n v="45470.597910525503"/>
    <n v="125788.2779105255"/>
    <n v="223.2"/>
    <n v="85.8"/>
    <n v="16188"/>
    <n v="1296.6719330855017"/>
    <m/>
    <n v="1574.2265279999999"/>
    <m/>
    <n v="1164.60636"/>
    <n v="791.77168943999993"/>
    <m/>
    <n v="653.40000000000009"/>
    <n v="40.158839999999998"/>
    <m/>
    <n v="4979.6961599999995"/>
    <n v="18473.0664"/>
    <n v="1958.9678048780479"/>
    <n v="0"/>
  </r>
  <r>
    <x v="56"/>
    <x v="26"/>
    <s v="@00658581"/>
    <s v="Anderson, Amber D."/>
    <s v="500"/>
    <n v="7"/>
    <s v="C"/>
    <s v="CA"/>
    <s v="A"/>
    <n v="1"/>
    <n v="100"/>
    <n v="1"/>
    <x v="4"/>
    <s v="10AIR1"/>
    <x v="5"/>
    <s v="2191"/>
    <s v="679000"/>
    <m/>
    <m/>
    <n v="1"/>
    <n v="80317.73"/>
    <n v="80317.73"/>
    <n v="45470.614733425507"/>
    <n v="125788.3447334255"/>
    <n v="223.2"/>
    <n v="85.8"/>
    <n v="16188"/>
    <n v="1296.6719330855017"/>
    <m/>
    <n v="1574.2275079999999"/>
    <m/>
    <n v="1164.6070850000001"/>
    <n v="791.77218233999997"/>
    <m/>
    <n v="653.40000000000009"/>
    <n v="40.158864999999999"/>
    <m/>
    <n v="4979.6992599999994"/>
    <n v="18473.0779"/>
    <n v="1958.9690243902442"/>
    <n v="0"/>
  </r>
  <r>
    <x v="57"/>
    <x v="33"/>
    <s v="@00605436"/>
    <s v="Evans, Marsha"/>
    <s v="530"/>
    <n v="15"/>
    <s v="C"/>
    <s v="CA"/>
    <s v="A"/>
    <n v="1"/>
    <n v="100"/>
    <n v="1"/>
    <x v="4"/>
    <s v="132EA0"/>
    <x v="4"/>
    <s v="2191"/>
    <s v="678000"/>
    <m/>
    <m/>
    <n v="1"/>
    <n v="113486.76"/>
    <n v="113486.76"/>
    <n v="56630.600229165502"/>
    <n v="170117.3602291655"/>
    <n v="223.2"/>
    <n v="85.8"/>
    <n v="16188"/>
    <n v="1296.6719330855017"/>
    <m/>
    <n v="2224.3404959999998"/>
    <m/>
    <n v="1645.5580199999999"/>
    <n v="1118.7524800799999"/>
    <m/>
    <n v="653.40000000000009"/>
    <n v="56.743380000000002"/>
    <m/>
    <n v="7036.1791199999998"/>
    <n v="26101.9548"/>
    <n v="0"/>
    <n v="0"/>
  </r>
  <r>
    <x v="58"/>
    <x v="34"/>
    <s v="@00362044"/>
    <s v="Chavarria, Daniel S."/>
    <s v="515"/>
    <n v="3"/>
    <s v="C"/>
    <s v="CA"/>
    <s v="A"/>
    <n v="1"/>
    <n v="100"/>
    <n v="1"/>
    <x v="4"/>
    <s v="132EA0"/>
    <x v="4"/>
    <s v="2191"/>
    <s v="678000"/>
    <m/>
    <m/>
    <n v="1"/>
    <n v="78358.679999999993"/>
    <n v="78358.679999999993"/>
    <n v="44811.476688525509"/>
    <n v="123170.1566885255"/>
    <n v="223.2"/>
    <n v="85.8"/>
    <n v="16188"/>
    <n v="1296.6719330855017"/>
    <m/>
    <n v="1535.8301279999998"/>
    <m/>
    <n v="1136.2008599999999"/>
    <n v="772.45986743999993"/>
    <m/>
    <n v="653.40000000000009"/>
    <n v="39.179339999999996"/>
    <m/>
    <n v="4858.2381599999999"/>
    <n v="18022.4964"/>
    <n v="1911.1873170731706"/>
    <n v="0"/>
  </r>
  <r>
    <x v="0"/>
    <x v="0"/>
    <s v="@00714371"/>
    <s v="Geary, Camellia"/>
    <s v="410"/>
    <n v="4"/>
    <s v="C"/>
    <s v="CA"/>
    <s v="A"/>
    <n v="1"/>
    <n v="100"/>
    <n v="1"/>
    <x v="4"/>
    <s v="122BS3"/>
    <x v="0"/>
    <s v="2191"/>
    <s v="672000"/>
    <m/>
    <m/>
    <n v="0.75"/>
    <n v="47820"/>
    <n v="35865"/>
    <n v="25767.383619814129"/>
    <n v="61632.383619814129"/>
    <n v="167.39999999999998"/>
    <n v="64.349999999999994"/>
    <n v="12141"/>
    <n v="972.50394981412626"/>
    <m/>
    <n v="702.95399999999995"/>
    <m/>
    <n v="520.04250000000002"/>
    <n v="353.55717000000004"/>
    <m/>
    <n v="355.06350000000003"/>
    <n v="17.932500000000001"/>
    <m/>
    <n v="2223.63"/>
    <n v="8248.9500000000007"/>
    <n v="874.75609756097401"/>
    <n v="0"/>
  </r>
  <r>
    <x v="59"/>
    <x v="35"/>
    <s v="@00366128"/>
    <s v="Quintero, Karla Y"/>
    <s v="435"/>
    <n v="6"/>
    <s v="C"/>
    <s v="CA"/>
    <s v="A"/>
    <n v="1"/>
    <n v="100"/>
    <n v="1"/>
    <x v="4"/>
    <s v="145HR3"/>
    <x v="3"/>
    <s v="2191"/>
    <s v="673000"/>
    <m/>
    <m/>
    <n v="1"/>
    <n v="56843.040000000001"/>
    <n v="56843.040000000001"/>
    <n v="37481.7135814055"/>
    <n v="94324.753581405501"/>
    <n v="223.2"/>
    <n v="85.8"/>
    <n v="16188"/>
    <n v="1296.6719330855017"/>
    <m/>
    <n v="1114.1235839999999"/>
    <m/>
    <n v="824.22408000000007"/>
    <n v="560.35868832000006"/>
    <m/>
    <n v="562.74609600000008"/>
    <n v="28.421520000000001"/>
    <m/>
    <n v="3524.2684800000002"/>
    <n v="13073.899200000002"/>
    <n v="1386.4156097560917"/>
    <n v="0"/>
  </r>
  <r>
    <x v="60"/>
    <x v="25"/>
    <s v="@00056918"/>
    <s v="Blanco, Trudi L."/>
    <s v="425"/>
    <n v="3"/>
    <s v="C"/>
    <s v="CA"/>
    <s v="A"/>
    <n v="1"/>
    <n v="100"/>
    <n v="1"/>
    <x v="4"/>
    <s v="145HR3"/>
    <x v="3"/>
    <s v="2191"/>
    <s v="673000"/>
    <m/>
    <m/>
    <n v="1"/>
    <n v="50240.88"/>
    <n v="50240.88"/>
    <n v="35195.002648125497"/>
    <n v="85435.882648125495"/>
    <n v="223.2"/>
    <n v="85.8"/>
    <n v="16188"/>
    <n v="1296.6719330855017"/>
    <m/>
    <n v="984.72124799999995"/>
    <m/>
    <n v="728.49275999999998"/>
    <n v="495.27459504000001"/>
    <m/>
    <n v="497.38471200000004"/>
    <n v="25.120439999999999"/>
    <m/>
    <n v="3114.9345599999997"/>
    <n v="11555.402399999999"/>
    <n v="1225.3873170731677"/>
    <n v="0"/>
  </r>
  <r>
    <x v="61"/>
    <x v="34"/>
    <m/>
    <s v="Vacant (Dave H)"/>
    <s v="515"/>
    <n v="3"/>
    <s v="C"/>
    <s v="CA"/>
    <s v="A"/>
    <n v="1"/>
    <n v="100"/>
    <n v="1"/>
    <x v="4"/>
    <s v="132EA0"/>
    <x v="4"/>
    <s v="2191"/>
    <s v="678000"/>
    <m/>
    <m/>
    <n v="1"/>
    <n v="78358.679999999993"/>
    <n v="78358.679999999993"/>
    <n v="44811.476688525509"/>
    <n v="123170.1566885255"/>
    <n v="223.2"/>
    <n v="85.8"/>
    <n v="16188"/>
    <n v="1296.6719330855017"/>
    <m/>
    <n v="1535.8301279999998"/>
    <m/>
    <n v="1136.2008599999999"/>
    <n v="772.45986743999993"/>
    <m/>
    <n v="653.40000000000009"/>
    <n v="39.179339999999996"/>
    <m/>
    <n v="4858.2381599999999"/>
    <n v="18022.4964"/>
    <n v="1911.1873170731706"/>
    <n v="0"/>
  </r>
  <r>
    <x v="61"/>
    <x v="36"/>
    <m/>
    <s v="Vacant (Keith P)"/>
    <s v="515"/>
    <n v="3"/>
    <s v="C"/>
    <s v="CA"/>
    <s v="A"/>
    <n v="1"/>
    <n v="100"/>
    <n v="1"/>
    <x v="4"/>
    <s v="132EA0"/>
    <x v="4"/>
    <s v="2191"/>
    <s v="678000"/>
    <m/>
    <m/>
    <n v="1"/>
    <n v="78358.679999999993"/>
    <n v="78358.679999999993"/>
    <n v="44811.476688525509"/>
    <n v="123170.1566885255"/>
    <n v="223.2"/>
    <n v="85.8"/>
    <n v="16188"/>
    <n v="1296.6719330855017"/>
    <m/>
    <n v="1535.8301279999998"/>
    <m/>
    <n v="1136.2008599999999"/>
    <n v="772.45986743999993"/>
    <m/>
    <n v="653.40000000000009"/>
    <n v="39.179339999999996"/>
    <m/>
    <n v="4858.2381599999999"/>
    <n v="18022.4964"/>
    <n v="1911.1873170731706"/>
    <n v="0"/>
  </r>
  <r>
    <x v="62"/>
    <x v="30"/>
    <s v="@00205536"/>
    <s v="Horton, Jeremy S."/>
    <s v="510"/>
    <n v="11"/>
    <s v="C"/>
    <s v="CA"/>
    <s v="A"/>
    <n v="1"/>
    <n v="100"/>
    <n v="1"/>
    <x v="4"/>
    <s v="133II0"/>
    <x v="4"/>
    <s v="2191"/>
    <s v="678000"/>
    <m/>
    <m/>
    <n v="1"/>
    <n v="93143.88"/>
    <n v="93143.88"/>
    <n v="49786.075510125505"/>
    <n v="142929.9555101255"/>
    <n v="223.2"/>
    <n v="85.8"/>
    <n v="16188"/>
    <n v="1296.6719330855017"/>
    <m/>
    <n v="1825.620048"/>
    <m/>
    <n v="1350.58626"/>
    <n v="918.21236904000011"/>
    <m/>
    <n v="653.40000000000009"/>
    <n v="46.571940000000005"/>
    <m/>
    <n v="5774.9205600000005"/>
    <n v="21423.092400000001"/>
    <n v="2271.8019512195024"/>
    <n v="0"/>
  </r>
  <r>
    <x v="63"/>
    <x v="28"/>
    <s v="@00518959"/>
    <s v="Platas, Maria L."/>
    <s v="465"/>
    <n v="2"/>
    <s v="C"/>
    <s v="CA"/>
    <s v="A"/>
    <n v="1"/>
    <n v="100"/>
    <n v="1"/>
    <x v="4"/>
    <s v="122BS2"/>
    <x v="0"/>
    <s v="2191"/>
    <s v="672000"/>
    <m/>
    <m/>
    <n v="1"/>
    <n v="59720.643399999964"/>
    <n v="59720.643399999964"/>
    <n v="38478.394539822686"/>
    <n v="98199.037939822651"/>
    <n v="223.2"/>
    <n v="85.8"/>
    <n v="16188"/>
    <n v="1296.6719330855017"/>
    <m/>
    <n v="1170.5246106399993"/>
    <m/>
    <n v="865.94932929999948"/>
    <n v="588.72610263719969"/>
    <m/>
    <n v="591.23436965999974"/>
    <n v="29.860321699999982"/>
    <m/>
    <n v="3702.6798907999978"/>
    <n v="13735.747981999992"/>
    <n v="1456.6010585365802"/>
    <n v="0"/>
  </r>
  <r>
    <x v="64"/>
    <x v="37"/>
    <s v="@00355096"/>
    <s v="Kuhn, Angelique G."/>
    <s v="475"/>
    <n v="3"/>
    <s v="C"/>
    <s v="CA"/>
    <s v="A"/>
    <n v="1"/>
    <n v="100"/>
    <n v="1"/>
    <x v="4"/>
    <s v="132EA0"/>
    <x v="4"/>
    <s v="2191"/>
    <s v="678000"/>
    <m/>
    <m/>
    <n v="1"/>
    <n v="64312.68"/>
    <n v="64312.68"/>
    <n v="40068.883152525501"/>
    <n v="104381.5631525255"/>
    <n v="223.2"/>
    <n v="85.8"/>
    <n v="16188"/>
    <n v="1296.6719330855017"/>
    <m/>
    <n v="1260.5285280000001"/>
    <m/>
    <n v="932.53386"/>
    <n v="633.99439944000005"/>
    <m/>
    <n v="636.69553200000007"/>
    <n v="32.15634"/>
    <m/>
    <n v="3987.38616"/>
    <n v="14791.9164"/>
    <n v="1568.6019512195053"/>
    <n v="0"/>
  </r>
  <r>
    <x v="65"/>
    <x v="25"/>
    <s v="@00657178"/>
    <s v="Martinez, Klautitsy V."/>
    <s v="425"/>
    <n v="3"/>
    <s v="C"/>
    <s v="CA"/>
    <s v="A"/>
    <n v="1"/>
    <n v="100"/>
    <n v="1"/>
    <x v="4"/>
    <s v="145HR4"/>
    <x v="3"/>
    <s v="2191"/>
    <s v="673000"/>
    <m/>
    <m/>
    <n v="1"/>
    <n v="50240.907599999999"/>
    <n v="50240.907599999999"/>
    <n v="35195.012207606298"/>
    <n v="85435.919807606289"/>
    <n v="223.2"/>
    <n v="85.8"/>
    <n v="16188"/>
    <n v="1296.6719330855017"/>
    <m/>
    <n v="984.72178895999991"/>
    <m/>
    <n v="728.49316020000003"/>
    <n v="495.27486712080002"/>
    <m/>
    <n v="497.38498524000005"/>
    <n v="25.1204538"/>
    <m/>
    <n v="3114.9362711999997"/>
    <n v="11555.408748"/>
    <n v="1225.3879902439003"/>
    <n v="0"/>
  </r>
  <r>
    <x v="66"/>
    <x v="25"/>
    <m/>
    <s v="Vacant (new)"/>
    <s v="425"/>
    <n v="3"/>
    <s v="C"/>
    <s v="CA"/>
    <s v="A"/>
    <n v="1"/>
    <n v="100"/>
    <n v="1"/>
    <x v="4"/>
    <s v="145HR4"/>
    <x v="3"/>
    <s v="2191"/>
    <s v="673000"/>
    <m/>
    <m/>
    <n v="1"/>
    <n v="50240.907599999999"/>
    <n v="50240.907599999999"/>
    <n v="35195.012207606298"/>
    <n v="85435.919807606289"/>
    <n v="223.2"/>
    <n v="85.8"/>
    <n v="16188"/>
    <n v="1296.6719330855017"/>
    <m/>
    <n v="984.72178895999991"/>
    <m/>
    <n v="728.49316020000003"/>
    <n v="495.27486712080002"/>
    <m/>
    <n v="497.38498524000005"/>
    <n v="25.1204538"/>
    <m/>
    <n v="3114.9362711999997"/>
    <n v="11555.408748"/>
    <n v="1225.3879902439003"/>
    <n v="0"/>
  </r>
  <r>
    <x v="67"/>
    <x v="30"/>
    <s v="@00071282"/>
    <s v="Kelley, Justin K."/>
    <s v="510"/>
    <n v="5"/>
    <s v="C"/>
    <s v="CA"/>
    <s v="A"/>
    <n v="1"/>
    <n v="100"/>
    <n v="1"/>
    <x v="4"/>
    <s v="133II0"/>
    <x v="4"/>
    <s v="2191"/>
    <s v="678000"/>
    <m/>
    <m/>
    <n v="1"/>
    <n v="80317.679999999993"/>
    <n v="80317.679999999993"/>
    <n v="45470.597910525503"/>
    <n v="125788.2779105255"/>
    <n v="223.2"/>
    <n v="85.8"/>
    <n v="16188"/>
    <n v="1296.6719330855017"/>
    <m/>
    <n v="1574.2265279999999"/>
    <m/>
    <n v="1164.60636"/>
    <n v="791.77168943999993"/>
    <m/>
    <n v="653.40000000000009"/>
    <n v="40.158839999999998"/>
    <m/>
    <n v="4979.6961599999995"/>
    <n v="18473.0664"/>
    <n v="1958.9678048780479"/>
    <n v="0"/>
  </r>
  <r>
    <x v="68"/>
    <x v="17"/>
    <s v="@00650502"/>
    <s v="Michal, William"/>
    <s v="515"/>
    <n v="4"/>
    <s v="C"/>
    <s v="CA"/>
    <s v="A"/>
    <n v="1"/>
    <n v="100"/>
    <n v="1"/>
    <x v="4"/>
    <s v="132EA0"/>
    <x v="4"/>
    <s v="2191"/>
    <s v="678000"/>
    <m/>
    <m/>
    <n v="1"/>
    <n v="80317.679999999993"/>
    <n v="80317.679999999993"/>
    <n v="45470.597910525503"/>
    <n v="125788.2779105255"/>
    <n v="223.2"/>
    <n v="85.8"/>
    <n v="16188"/>
    <n v="1296.6719330855017"/>
    <m/>
    <n v="1574.2265279999999"/>
    <m/>
    <n v="1164.60636"/>
    <n v="791.77168943999993"/>
    <m/>
    <n v="653.40000000000009"/>
    <n v="40.158839999999998"/>
    <m/>
    <n v="4979.6961599999995"/>
    <n v="18473.0664"/>
    <n v="1958.9678048780479"/>
    <n v="0"/>
  </r>
  <r>
    <x v="69"/>
    <x v="35"/>
    <s v="@00376520"/>
    <s v="Caballero, Judy M."/>
    <n v="435"/>
    <n v="1"/>
    <s v="C"/>
    <s v="CA"/>
    <s v="A"/>
    <n v="1"/>
    <n v="100"/>
    <n v="1"/>
    <x v="4"/>
    <s v="140HR0"/>
    <x v="3"/>
    <s v="2191"/>
    <s v="673000"/>
    <m/>
    <m/>
    <n v="1"/>
    <n v="52784.39"/>
    <n v="52784.39"/>
    <n v="36075.967684705502"/>
    <n v="88860.357684705494"/>
    <n v="223.2"/>
    <n v="85.8"/>
    <n v="16188"/>
    <n v="1296.6719330855017"/>
    <m/>
    <n v="1034.574044"/>
    <m/>
    <n v="765.37365499999999"/>
    <n v="520.34851662000005"/>
    <m/>
    <n v="522.56546100000003"/>
    <n v="26.392195000000001"/>
    <m/>
    <n v="3272.6321800000001"/>
    <n v="12140.4097"/>
    <n v="1287.4241463414583"/>
    <n v="0"/>
  </r>
  <r>
    <x v="70"/>
    <x v="31"/>
    <m/>
    <s v="Vacant"/>
    <m/>
    <m/>
    <s v="C"/>
    <s v="CA"/>
    <s v="A"/>
    <n v="1"/>
    <m/>
    <m/>
    <x v="4"/>
    <s v="133II0"/>
    <x v="4"/>
    <s v="2191"/>
    <s v="678000"/>
    <m/>
    <m/>
    <n v="1"/>
    <n v="56843.040000000001"/>
    <n v="56843.040000000001"/>
    <n v="37481.7135814055"/>
    <n v="94324.753581405501"/>
    <n v="223.2"/>
    <n v="85.8"/>
    <n v="16188"/>
    <n v="1296.6719330855017"/>
    <m/>
    <n v="1114.1235839999999"/>
    <m/>
    <n v="824.22408000000007"/>
    <n v="560.35868832000006"/>
    <m/>
    <n v="562.74609600000008"/>
    <n v="28.421520000000001"/>
    <m/>
    <n v="3524.2684800000002"/>
    <n v="13073.899200000002"/>
    <n v="1386.4156097560917"/>
    <n v="0"/>
  </r>
  <r>
    <x v="71"/>
    <x v="17"/>
    <s v="@00720833"/>
    <s v="Bunk, Alvin"/>
    <s v="515"/>
    <n v="3"/>
    <s v="C"/>
    <s v="CA"/>
    <s v="A"/>
    <n v="1"/>
    <n v="100"/>
    <n v="1"/>
    <x v="4"/>
    <s v="132EA0"/>
    <x v="4"/>
    <s v="2191"/>
    <s v="678000"/>
    <m/>
    <m/>
    <n v="1"/>
    <n v="78358.679999999993"/>
    <n v="78358.679999999993"/>
    <n v="44811.476688525509"/>
    <n v="123170.1566885255"/>
    <n v="223.2"/>
    <n v="85.8"/>
    <n v="16188"/>
    <n v="1296.6719330855017"/>
    <m/>
    <n v="1535.8301279999998"/>
    <m/>
    <n v="1136.2008599999999"/>
    <n v="772.45986743999993"/>
    <m/>
    <n v="653.40000000000009"/>
    <n v="39.179339999999996"/>
    <m/>
    <n v="4858.2381599999999"/>
    <n v="18022.4964"/>
    <n v="1911.1873170731706"/>
    <n v="0"/>
  </r>
  <r>
    <x v="72"/>
    <x v="19"/>
    <s v="Vacant"/>
    <m/>
    <m/>
    <m/>
    <s v="C"/>
    <s v="CA"/>
    <s v="A"/>
    <n v="1"/>
    <m/>
    <m/>
    <x v="4"/>
    <s v="122BS2"/>
    <x v="0"/>
    <s v="2191"/>
    <s v="672000"/>
    <m/>
    <m/>
    <n v="0"/>
    <n v="0"/>
    <n v="0"/>
    <n v="0"/>
    <n v="0"/>
    <n v="0"/>
    <n v="0"/>
    <n v="0"/>
    <n v="0"/>
    <m/>
    <n v="0"/>
    <m/>
    <n v="0"/>
    <n v="0"/>
    <m/>
    <n v="0"/>
    <n v="0"/>
    <m/>
    <n v="0"/>
    <n v="0"/>
    <n v="0"/>
    <n v="0"/>
  </r>
  <r>
    <x v="73"/>
    <x v="38"/>
    <s v="@00554644"/>
    <s v="Olmos Herrera, Beatriz"/>
    <s v="455"/>
    <n v="2"/>
    <s v="C"/>
    <s v="CA"/>
    <s v="A"/>
    <n v="1"/>
    <n v="100"/>
    <n v="1"/>
    <x v="4"/>
    <s v="140HR8"/>
    <x v="3"/>
    <s v="2191"/>
    <s v="673000"/>
    <m/>
    <m/>
    <n v="1"/>
    <n v="56843.03"/>
    <n v="56843.03"/>
    <n v="37481.710117825503"/>
    <n v="94324.74011782551"/>
    <n v="223.2"/>
    <n v="85.8"/>
    <n v="16188"/>
    <n v="1296.6719330855017"/>
    <m/>
    <n v="1114.123388"/>
    <m/>
    <n v="824.22393499999998"/>
    <n v="560.35858974000007"/>
    <m/>
    <n v="562.74599699999999"/>
    <n v="28.421514999999999"/>
    <m/>
    <n v="3524.2678599999999"/>
    <n v="13073.8969"/>
    <n v="1386.4153658536525"/>
    <n v="0"/>
  </r>
  <r>
    <x v="74"/>
    <x v="38"/>
    <s v="@00063312"/>
    <s v="Goin, Stephanie M."/>
    <s v="455"/>
    <n v="10"/>
    <s v="C"/>
    <s v="CA"/>
    <s v="A"/>
    <n v="1"/>
    <n v="100"/>
    <n v="1"/>
    <x v="4"/>
    <s v="140HR8"/>
    <x v="3"/>
    <s v="2191"/>
    <s v="673000"/>
    <m/>
    <m/>
    <n v="1"/>
    <n v="69257.64"/>
    <n v="69257.64"/>
    <n v="41749.358972205504"/>
    <n v="111006.9989722055"/>
    <n v="223.2"/>
    <n v="85.8"/>
    <n v="16188"/>
    <n v="1296.6719330855017"/>
    <m/>
    <n v="1357.449744"/>
    <m/>
    <n v="1004.2357800000001"/>
    <n v="682.74181512000007"/>
    <m/>
    <n v="653.40000000000009"/>
    <n v="34.628819999999997"/>
    <m/>
    <n v="4293.9736800000001"/>
    <n v="15929.2572"/>
    <n v="1689.2107317073096"/>
    <n v="0"/>
  </r>
  <r>
    <x v="75"/>
    <x v="39"/>
    <s v="@00003484"/>
    <s v="Shearer, Sheila J."/>
    <s v="490"/>
    <n v="9"/>
    <s v="C"/>
    <s v="CA"/>
    <s v="A"/>
    <n v="1"/>
    <n v="100"/>
    <n v="1"/>
    <x v="4"/>
    <s v="140HR6"/>
    <x v="3"/>
    <s v="2191"/>
    <s v="677050"/>
    <m/>
    <m/>
    <n v="1"/>
    <n v="80317.679999999993"/>
    <n v="80317.679999999993"/>
    <n v="45470.597910525503"/>
    <n v="125788.2779105255"/>
    <n v="223.2"/>
    <n v="85.8"/>
    <n v="16188"/>
    <n v="1296.6719330855017"/>
    <m/>
    <n v="1574.2265279999999"/>
    <m/>
    <n v="1164.60636"/>
    <n v="791.77168943999993"/>
    <m/>
    <n v="653.40000000000009"/>
    <n v="40.158839999999998"/>
    <m/>
    <n v="4979.6961599999995"/>
    <n v="18473.0664"/>
    <n v="1958.9678048780479"/>
    <n v="0"/>
  </r>
  <r>
    <x v="76"/>
    <x v="40"/>
    <s v="@00217764"/>
    <s v="Ferree, Patrick R."/>
    <s v="535"/>
    <n v="8"/>
    <s v="C"/>
    <s v="CA"/>
    <s v="A"/>
    <n v="1"/>
    <n v="100"/>
    <n v="1"/>
    <x v="4"/>
    <s v="131IS0"/>
    <x v="4"/>
    <s v="2191"/>
    <s v="678000"/>
    <m/>
    <m/>
    <n v="1"/>
    <n v="97859.225799999957"/>
    <n v="97859.225799999957"/>
    <n v="51372.591327301896"/>
    <n v="149231.81712730185"/>
    <n v="223.2"/>
    <n v="85.8"/>
    <n v="16188"/>
    <n v="1296.6719330855017"/>
    <m/>
    <n v="1918.040825679999"/>
    <m/>
    <n v="1418.9587740999993"/>
    <n v="964.69624793639957"/>
    <m/>
    <n v="653.40000000000009"/>
    <n v="48.929612899999981"/>
    <m/>
    <n v="6067.2719995999969"/>
    <n v="22507.621933999992"/>
    <n v="2386.8103853658395"/>
    <n v="0"/>
  </r>
  <r>
    <x v="77"/>
    <x v="7"/>
    <s v="@00370396"/>
    <s v="Reyes Bonilla, Mayra A."/>
    <s v="380"/>
    <n v="2"/>
    <s v="C"/>
    <s v="CA"/>
    <s v="A"/>
    <n v="1"/>
    <n v="100"/>
    <n v="1"/>
    <x v="4"/>
    <s v="130IT0"/>
    <x v="4"/>
    <s v="2191"/>
    <s v="678000"/>
    <m/>
    <m/>
    <n v="1"/>
    <n v="39248.160000000003"/>
    <n v="39248.160000000003"/>
    <n v="31387.586134365505"/>
    <n v="70635.746134365501"/>
    <n v="223.2"/>
    <n v="85.8"/>
    <n v="16188"/>
    <n v="1296.6719330855017"/>
    <m/>
    <n v="769.26393600000006"/>
    <m/>
    <n v="569.09832000000006"/>
    <n v="386.90836128000007"/>
    <m/>
    <n v="388.55678400000005"/>
    <n v="19.624080000000003"/>
    <m/>
    <n v="2433.3859200000002"/>
    <n v="9027.0768000000007"/>
    <n v="957.27219512195006"/>
    <n v="0"/>
  </r>
  <r>
    <x v="78"/>
    <x v="17"/>
    <m/>
    <s v="New Position"/>
    <m/>
    <m/>
    <m/>
    <s v="CA"/>
    <s v="A"/>
    <n v="0"/>
    <n v="100"/>
    <m/>
    <x v="4"/>
    <s v="132EA0"/>
    <x v="4"/>
    <s v="2191"/>
    <s v="678000"/>
    <m/>
    <m/>
    <n v="1"/>
    <n v="78358.679999999993"/>
    <n v="78358.679999999993"/>
    <n v="44811.476688525509"/>
    <n v="123170.1566885255"/>
    <n v="223.2"/>
    <n v="85.8"/>
    <n v="16188"/>
    <n v="1296.6719330855017"/>
    <m/>
    <n v="1535.8301279999998"/>
    <m/>
    <n v="1136.2008599999999"/>
    <n v="772.45986743999993"/>
    <m/>
    <n v="653.40000000000009"/>
    <n v="39.179339999999996"/>
    <m/>
    <n v="4858.2381599999999"/>
    <n v="18022.4964"/>
    <n v="0"/>
    <n v="0"/>
  </r>
  <r>
    <x v="79"/>
    <x v="41"/>
    <s v="@00000486"/>
    <s v="Taylor, Denise A."/>
    <s v="C"/>
    <n v="11"/>
    <s v="M"/>
    <s v="M6"/>
    <s v="A"/>
    <n v="1"/>
    <n v="100"/>
    <n v="1"/>
    <x v="4"/>
    <s v="110ES1"/>
    <x v="1"/>
    <s v="2190"/>
    <s v="679000"/>
    <m/>
    <m/>
    <n v="1"/>
    <n v="79244.800000000003"/>
    <n v="79244.800000000003"/>
    <n v="45109.618851485502"/>
    <n v="124354.41885148551"/>
    <n v="223.2"/>
    <n v="85.8"/>
    <n v="16188"/>
    <n v="1296.6719330855017"/>
    <m/>
    <n v="1553.1980800000001"/>
    <m/>
    <n v="1149.0496000000001"/>
    <n v="781.19523840000011"/>
    <m/>
    <n v="653.40000000000009"/>
    <n v="39.622399999999999"/>
    <m/>
    <n v="4913.1776"/>
    <n v="18226.304"/>
    <n v="0"/>
    <n v="1932.7999999999884"/>
  </r>
  <r>
    <x v="80"/>
    <x v="42"/>
    <s v="@00450182"/>
    <s v="Calderon, Amalia"/>
    <s v="E"/>
    <n v="2"/>
    <s v="M"/>
    <s v="M6"/>
    <s v="A"/>
    <n v="1"/>
    <n v="100"/>
    <n v="1"/>
    <x v="4"/>
    <s v="140HR0"/>
    <x v="3"/>
    <s v="2190"/>
    <s v="673000"/>
    <m/>
    <m/>
    <n v="1"/>
    <n v="73386.91"/>
    <n v="73386.91"/>
    <n v="43138.684897865503"/>
    <n v="116525.59489786551"/>
    <n v="223.2"/>
    <n v="85.8"/>
    <n v="16188"/>
    <n v="1296.6719330855017"/>
    <m/>
    <n v="1438.3834360000001"/>
    <m/>
    <n v="1064.1101950000002"/>
    <n v="723.44815878000009"/>
    <m/>
    <n v="653.40000000000009"/>
    <n v="36.693455"/>
    <m/>
    <n v="4549.9884200000006"/>
    <n v="16878.989300000001"/>
    <n v="0"/>
    <n v="1789.9246341463295"/>
  </r>
  <r>
    <x v="81"/>
    <x v="42"/>
    <s v="@00032564"/>
    <s v="Duran, Virginia M."/>
    <s v="E"/>
    <n v="8"/>
    <s v="M"/>
    <s v="M6"/>
    <s v="A"/>
    <n v="1"/>
    <n v="100"/>
    <n v="1"/>
    <x v="4"/>
    <s v="140HR0"/>
    <x v="3"/>
    <s v="2190"/>
    <s v="673000"/>
    <m/>
    <m/>
    <n v="1"/>
    <n v="85106.32"/>
    <n v="85106.32"/>
    <n v="47081.774147645498"/>
    <n v="132188.09414764552"/>
    <n v="223.2"/>
    <n v="85.8"/>
    <n v="16188"/>
    <n v="1296.6719330855017"/>
    <m/>
    <n v="1668.0838720000002"/>
    <m/>
    <n v="1234.0416400000001"/>
    <n v="838.97810256000014"/>
    <m/>
    <n v="653.40000000000009"/>
    <n v="42.553160000000005"/>
    <m/>
    <n v="5276.59184"/>
    <n v="19574.453600000001"/>
    <n v="0"/>
    <n v="2075.7639024390228"/>
  </r>
  <r>
    <x v="82"/>
    <x v="43"/>
    <s v="@00522367"/>
    <s v="Kemp, Alexandria J."/>
    <s v="C"/>
    <n v="10"/>
    <s v="M"/>
    <s v="M6"/>
    <s v="A"/>
    <n v="1"/>
    <n v="100"/>
    <n v="1"/>
    <x v="4"/>
    <s v="120BS0"/>
    <x v="0"/>
    <s v="2190"/>
    <s v="672000"/>
    <m/>
    <m/>
    <n v="1"/>
    <n v="65039.9"/>
    <n v="65039.9"/>
    <n v="40320.761617285505"/>
    <n v="105360.66161728551"/>
    <n v="223.2"/>
    <n v="85.8"/>
    <n v="16188"/>
    <n v="1296.6719330855017"/>
    <m/>
    <n v="1274.7820400000001"/>
    <m/>
    <n v="943.07855000000006"/>
    <n v="641.16333420000001"/>
    <m/>
    <n v="643.89501000000007"/>
    <n v="32.519950000000001"/>
    <m/>
    <n v="4032.4738000000002"/>
    <n v="14959.177000000001"/>
    <n v="0"/>
    <n v="1586.3390243902395"/>
  </r>
  <r>
    <x v="83"/>
    <x v="44"/>
    <s v="@00615673"/>
    <s v="Barnes, Mary L."/>
    <s v="C"/>
    <n v="6"/>
    <s v="M"/>
    <s v="M6"/>
    <s v="A"/>
    <n v="1"/>
    <n v="100"/>
    <n v="1"/>
    <x v="4"/>
    <s v="140HR0"/>
    <x v="3"/>
    <s v="2190"/>
    <s v="673000"/>
    <m/>
    <m/>
    <n v="1"/>
    <n v="70040.86"/>
    <n v="70040.86"/>
    <n v="42012.879606965507"/>
    <n v="112053.73960696551"/>
    <n v="223.2"/>
    <n v="85.8"/>
    <n v="16188"/>
    <n v="1296.6719330855017"/>
    <m/>
    <n v="1372.8008560000001"/>
    <m/>
    <n v="1015.59247"/>
    <n v="690.46279788000004"/>
    <m/>
    <n v="653.40000000000009"/>
    <n v="35.020429999999998"/>
    <m/>
    <n v="4342.5333200000005"/>
    <n v="16109.397800000001"/>
    <n v="0"/>
    <n v="1708.3136585365864"/>
  </r>
  <r>
    <x v="84"/>
    <x v="42"/>
    <s v="@00277115"/>
    <s v="Gonzalez, Anna M."/>
    <s v="E"/>
    <n v="4"/>
    <s v="M"/>
    <s v="M6"/>
    <s v="A"/>
    <n v="1"/>
    <n v="100"/>
    <n v="1"/>
    <x v="4"/>
    <s v="140HR0"/>
    <x v="3"/>
    <s v="2190"/>
    <s v="673000"/>
    <m/>
    <m/>
    <n v="1"/>
    <n v="77102.12"/>
    <n v="77102.12"/>
    <n v="44388.697024045505"/>
    <n v="121490.81702404551"/>
    <n v="223.2"/>
    <n v="85.8"/>
    <n v="16188"/>
    <n v="1296.6719330855017"/>
    <m/>
    <n v="1511.2015519999998"/>
    <m/>
    <n v="1117.98074"/>
    <n v="760.07269896000003"/>
    <m/>
    <n v="653.40000000000009"/>
    <n v="38.55106"/>
    <m/>
    <n v="4780.3314399999999"/>
    <n v="17733.4876"/>
    <n v="0"/>
    <n v="1880.5395121951151"/>
  </r>
  <r>
    <x v="85"/>
    <x v="45"/>
    <s v="@00295882"/>
    <s v="Galindo, Suzanne M."/>
    <s v="E"/>
    <n v="12"/>
    <s v="M"/>
    <s v="M6"/>
    <s v="A"/>
    <n v="1"/>
    <n v="100"/>
    <n v="1"/>
    <x v="4"/>
    <s v="150LE0"/>
    <x v="6"/>
    <s v="2190"/>
    <s v="660030"/>
    <m/>
    <m/>
    <n v="1"/>
    <n v="93941.45"/>
    <n v="93941.45"/>
    <n v="50054.424317185505"/>
    <n v="143995.87431718549"/>
    <n v="223.2"/>
    <n v="85.8"/>
    <n v="16188"/>
    <n v="1296.6719330855017"/>
    <m/>
    <n v="1841.2524199999998"/>
    <m/>
    <n v="1362.1510250000001"/>
    <n v="926.07481410000003"/>
    <m/>
    <n v="653.40000000000009"/>
    <n v="46.970725000000002"/>
    <m/>
    <n v="5824.3698999999997"/>
    <n v="21606.533500000001"/>
    <n v="0"/>
    <n v="2291.2548780487705"/>
  </r>
  <r>
    <x v="86"/>
    <x v="46"/>
    <s v="@00002848"/>
    <s v="Means, John M."/>
    <s v="M"/>
    <n v="8"/>
    <s v="M"/>
    <s v="M2"/>
    <s v="A"/>
    <n v="1"/>
    <n v="100"/>
    <n v="1"/>
    <x v="4"/>
    <s v="110ES1"/>
    <x v="1"/>
    <s v="1214"/>
    <s v="679000"/>
    <m/>
    <m/>
    <n v="1"/>
    <n v="195493.05"/>
    <n v="195493.05"/>
    <n v="58680.795509985503"/>
    <n v="254173.84550998549"/>
    <n v="223.2"/>
    <n v="85.8"/>
    <n v="16188"/>
    <n v="1296.6719330855017"/>
    <n v="420"/>
    <n v="3831.6637799999999"/>
    <m/>
    <n v="2834.6492250000001"/>
    <n v="1927.1704869"/>
    <m/>
    <n v="653.40000000000009"/>
    <n v="97.746524999999991"/>
    <n v="31122.493559999999"/>
    <m/>
    <m/>
    <n v="0"/>
    <n v="4768.1231707316765"/>
  </r>
  <r>
    <x v="87"/>
    <x v="47"/>
    <s v="@00004268"/>
    <s v="Burke, Thomas"/>
    <m/>
    <m/>
    <s v=""/>
    <m/>
    <s v="A"/>
    <n v="1"/>
    <n v="100"/>
    <n v="1"/>
    <x v="4"/>
    <s v="R00CO1"/>
    <x v="7"/>
    <n v="1214"/>
    <n v="660010"/>
    <m/>
    <m/>
    <n v="0.9"/>
    <n v="290000"/>
    <n v="261000"/>
    <n v="111311.72273977695"/>
    <n v="372311.72273977695"/>
    <n v="200.88"/>
    <n v="77.22"/>
    <n v="14569.2"/>
    <n v="1167.0047397769515"/>
    <m/>
    <n v="5115.5999999999995"/>
    <m/>
    <n v="3784.5"/>
    <n v="2572.9380000000001"/>
    <n v="15660"/>
    <n v="588.06000000000006"/>
    <n v="130.5"/>
    <m/>
    <n v="7415.82"/>
    <n v="60030"/>
    <n v="0"/>
    <n v="0"/>
  </r>
  <r>
    <x v="87"/>
    <x v="47"/>
    <s v="@00004268"/>
    <s v="Burke, Thomas"/>
    <m/>
    <m/>
    <s v=""/>
    <m/>
    <s v="A"/>
    <n v="1"/>
    <n v="100"/>
    <n v="1"/>
    <x v="4"/>
    <s v="R00CO1"/>
    <x v="7"/>
    <n v="1214"/>
    <n v="711001"/>
    <m/>
    <m/>
    <n v="0.1"/>
    <n v="290000"/>
    <n v="29000"/>
    <n v="12367.969193308551"/>
    <n v="41367.969193308549"/>
    <n v="22.32"/>
    <n v="8.58"/>
    <n v="1618.8000000000002"/>
    <n v="129.66719330855017"/>
    <m/>
    <n v="568.4"/>
    <m/>
    <n v="420.5"/>
    <n v="285.88200000000001"/>
    <n v="1740"/>
    <n v="65.340000000000018"/>
    <n v="14.5"/>
    <m/>
    <n v="823.98"/>
    <n v="6670"/>
    <n v="0"/>
    <n v="0"/>
  </r>
  <r>
    <x v="88"/>
    <x v="48"/>
    <s v="@00709065"/>
    <s v="Gerald, Gertrude G."/>
    <s v="L"/>
    <n v="9"/>
    <s v="M"/>
    <s v="M1"/>
    <s v="A"/>
    <n v="1"/>
    <n v="100"/>
    <n v="1"/>
    <x v="4"/>
    <s v="11BWD1"/>
    <x v="1"/>
    <s v="1214"/>
    <s v="679000"/>
    <m/>
    <m/>
    <n v="0.5"/>
    <n v="164225.01"/>
    <n v="82112.505000000005"/>
    <n v="35879.869863832755"/>
    <n v="117992.37486383275"/>
    <n v="111.6"/>
    <n v="42.9"/>
    <n v="8094"/>
    <n v="648.33596654275084"/>
    <m/>
    <n v="1609.405098"/>
    <m/>
    <n v="1190.6313225000001"/>
    <n v="809.46507429000008"/>
    <m/>
    <n v="326.70000000000005"/>
    <n v="41.056252500000006"/>
    <m/>
    <n v="4119.8999999999996"/>
    <n v="18885.876150000004"/>
    <n v="0"/>
    <n v="2002.7440243902383"/>
  </r>
  <r>
    <x v="89"/>
    <x v="49"/>
    <m/>
    <s v="Vacant"/>
    <s v="M"/>
    <n v="4"/>
    <s v="M"/>
    <s v="M2"/>
    <s v="A"/>
    <n v="1"/>
    <n v="100"/>
    <n v="1"/>
    <x v="4"/>
    <s v="R20BS1"/>
    <x v="8"/>
    <s v="2110"/>
    <s v="672000"/>
    <m/>
    <m/>
    <n v="1"/>
    <n v="177107.05"/>
    <n v="177107.05"/>
    <n v="75295.318661985511"/>
    <n v="252402.3686619855"/>
    <n v="223.2"/>
    <n v="85.8"/>
    <n v="16188"/>
    <n v="1296.6719330855017"/>
    <m/>
    <n v="3471.2981799999998"/>
    <m/>
    <n v="2568.0522249999999"/>
    <n v="1745.9212989"/>
    <m/>
    <n v="653.40000000000009"/>
    <n v="88.553524999999993"/>
    <m/>
    <n v="8239.7999999999993"/>
    <n v="40734.621500000001"/>
    <n v="0"/>
    <n v="4319.6841463414603"/>
  </r>
  <r>
    <x v="90"/>
    <x v="50"/>
    <s v="@00407862"/>
    <s v="Morales, Christine"/>
    <s v="G"/>
    <n v="12"/>
    <s v="M"/>
    <s v="M2"/>
    <s v="A"/>
    <n v="1"/>
    <n v="100"/>
    <n v="1"/>
    <x v="4"/>
    <s v="122BS3"/>
    <x v="0"/>
    <s v="2110"/>
    <s v="672000"/>
    <m/>
    <m/>
    <n v="1"/>
    <n v="111930.39"/>
    <n v="111930.39"/>
    <n v="56106.9470917055"/>
    <n v="168037.3370917055"/>
    <n v="223.2"/>
    <n v="85.8"/>
    <n v="16188"/>
    <n v="1296.6719330855017"/>
    <m/>
    <n v="2193.8356439999998"/>
    <m/>
    <n v="1622.9906550000001"/>
    <n v="1103.40978462"/>
    <m/>
    <n v="653.40000000000009"/>
    <n v="55.965195000000001"/>
    <m/>
    <n v="6939.6841800000002"/>
    <n v="25743.989700000002"/>
    <n v="0"/>
    <n v="2730.0095121951163"/>
  </r>
  <r>
    <x v="91"/>
    <x v="51"/>
    <s v="@00567102"/>
    <s v="Feichter, Carlene L."/>
    <s v="K"/>
    <n v="9"/>
    <s v="M"/>
    <s v="M2"/>
    <s v="A"/>
    <n v="1"/>
    <n v="100"/>
    <n v="1"/>
    <x v="4"/>
    <s v="120BS0"/>
    <x v="0"/>
    <s v="2110"/>
    <s v="672000"/>
    <m/>
    <m/>
    <n v="1"/>
    <n v="142169.29"/>
    <n v="142169.29"/>
    <n v="65706.370927905504"/>
    <n v="207875.66092790553"/>
    <n v="223.2"/>
    <n v="85.8"/>
    <n v="16188"/>
    <n v="1296.6719330855017"/>
    <m/>
    <n v="2786.5180840000003"/>
    <m/>
    <n v="2061.4547050000001"/>
    <n v="1401.5048608200002"/>
    <m/>
    <n v="653.40000000000009"/>
    <n v="71.084645000000009"/>
    <m/>
    <n v="8239.7999999999993"/>
    <n v="32698.936700000002"/>
    <n v="0"/>
    <n v="3467.5436585365678"/>
  </r>
  <r>
    <x v="92"/>
    <x v="52"/>
    <m/>
    <s v="Vacant"/>
    <s v="M"/>
    <n v="8"/>
    <s v="M"/>
    <s v="M2"/>
    <s v="A"/>
    <n v="1"/>
    <n v="100"/>
    <n v="1"/>
    <x v="4"/>
    <s v="140HR0"/>
    <x v="3"/>
    <s v="2110"/>
    <s v="673000"/>
    <m/>
    <m/>
    <n v="1"/>
    <n v="195493.05"/>
    <n v="195493.05"/>
    <n v="80341.503449985496"/>
    <n v="275834.55344998545"/>
    <n v="223.2"/>
    <n v="85.8"/>
    <n v="16188"/>
    <n v="1296.6719330855017"/>
    <m/>
    <n v="3831.6637799999999"/>
    <m/>
    <n v="2834.6492250000001"/>
    <n v="1927.1704869"/>
    <m/>
    <n v="653.40000000000009"/>
    <n v="97.746524999999991"/>
    <m/>
    <n v="8239.7999999999993"/>
    <n v="44963.4015"/>
    <n v="0"/>
    <n v="4768.1231707316765"/>
  </r>
  <r>
    <x v="93"/>
    <x v="53"/>
    <s v="@00680314"/>
    <s v="Ngo, Quan M."/>
    <s v="K"/>
    <n v="3"/>
    <s v="M"/>
    <s v="M2"/>
    <s v="A"/>
    <n v="1"/>
    <n v="100"/>
    <n v="1"/>
    <x v="4"/>
    <s v="10AIR1"/>
    <x v="5"/>
    <s v="2110"/>
    <s v="679000"/>
    <m/>
    <m/>
    <n v="1"/>
    <n v="122592.14"/>
    <n v="122592.14"/>
    <n v="59694.178173205502"/>
    <n v="182286.31817320551"/>
    <n v="223.2"/>
    <n v="85.8"/>
    <n v="16188"/>
    <n v="1296.6719330855017"/>
    <m/>
    <n v="2402.8059439999997"/>
    <m/>
    <n v="1777.5860300000002"/>
    <n v="1208.5133161200001"/>
    <m/>
    <n v="653.40000000000009"/>
    <n v="61.29607"/>
    <m/>
    <n v="7600.7126799999996"/>
    <n v="28196.192200000001"/>
    <n v="0"/>
    <n v="2990.0521951219416"/>
  </r>
  <r>
    <x v="94"/>
    <x v="54"/>
    <s v="@00003678"/>
    <s v="McAbee, Kimberly D."/>
    <s v="G"/>
    <n v="6"/>
    <s v="M"/>
    <s v="M2"/>
    <s v="A"/>
    <n v="1"/>
    <n v="100"/>
    <n v="1"/>
    <x v="4"/>
    <s v="140HR8"/>
    <x v="3"/>
    <s v="2110"/>
    <s v="673000"/>
    <m/>
    <m/>
    <n v="1"/>
    <n v="96517.23"/>
    <n v="96517.23"/>
    <n v="50921.066104425496"/>
    <n v="147438.29610442551"/>
    <n v="223.2"/>
    <n v="85.8"/>
    <n v="16188"/>
    <n v="1296.6719330855017"/>
    <m/>
    <n v="1891.7377079999999"/>
    <m/>
    <n v="1399.4998350000001"/>
    <n v="951.46685334000006"/>
    <m/>
    <n v="653.40000000000009"/>
    <n v="48.258614999999999"/>
    <m/>
    <n v="5984.06826"/>
    <n v="22198.962899999999"/>
    <n v="0"/>
    <n v="2354.0787804877909"/>
  </r>
  <r>
    <x v="95"/>
    <x v="55"/>
    <s v="@00229958"/>
    <s v="Rhoades, Dena R."/>
    <s v="H"/>
    <n v="9"/>
    <s v="M"/>
    <s v="M2"/>
    <s v="A"/>
    <n v="1"/>
    <n v="100"/>
    <n v="1"/>
    <x v="4"/>
    <s v="145HR3"/>
    <x v="3"/>
    <s v="2110"/>
    <s v="673000"/>
    <m/>
    <m/>
    <n v="1"/>
    <n v="114898.51"/>
    <n v="114898.51"/>
    <n v="57105.594810665498"/>
    <n v="172004.10481066548"/>
    <n v="223.2"/>
    <n v="85.8"/>
    <n v="16188"/>
    <n v="1296.6719330855017"/>
    <m/>
    <n v="2252.010796"/>
    <m/>
    <n v="1666.028395"/>
    <n v="1132.6695115800001"/>
    <m/>
    <n v="653.40000000000009"/>
    <n v="57.449255000000001"/>
    <m/>
    <n v="7123.7076199999992"/>
    <n v="26426.657299999999"/>
    <n v="0"/>
    <n v="2802.4026829268259"/>
  </r>
  <r>
    <x v="96"/>
    <x v="56"/>
    <m/>
    <s v="Vacant"/>
    <s v="G"/>
    <n v="8"/>
    <s v="M"/>
    <s v="M2"/>
    <s v="A"/>
    <n v="1"/>
    <n v="100"/>
    <n v="1"/>
    <x v="4"/>
    <s v="145HR4"/>
    <x v="3"/>
    <s v="2110"/>
    <s v="673000"/>
    <m/>
    <m/>
    <n v="1"/>
    <n v="101403.41"/>
    <n v="101403.41"/>
    <n v="52565.060454865503"/>
    <n v="153968.47045486551"/>
    <n v="223.2"/>
    <n v="85.8"/>
    <n v="16188"/>
    <n v="1296.6719330855017"/>
    <m/>
    <n v="1987.506836"/>
    <m/>
    <n v="1470.3494450000001"/>
    <n v="999.63481578000005"/>
    <m/>
    <n v="653.40000000000009"/>
    <n v="50.701705000000004"/>
    <m/>
    <n v="6287.0114199999998"/>
    <n v="23322.784300000003"/>
    <n v="0"/>
    <n v="2473.2539024390135"/>
  </r>
  <r>
    <x v="97"/>
    <x v="57"/>
    <s v="@00241649"/>
    <s v="Birdwell, Don C."/>
    <s v="E"/>
    <n v="6"/>
    <s v="M"/>
    <s v="M2"/>
    <s v="A"/>
    <n v="1"/>
    <n v="100"/>
    <n v="1"/>
    <x v="4"/>
    <s v="D01CO2"/>
    <x v="2"/>
    <s v="2110"/>
    <s v="651000"/>
    <m/>
    <m/>
    <n v="1"/>
    <n v="81005.42"/>
    <n v="81005.42"/>
    <n v="45701.993535445508"/>
    <n v="126707.41353544551"/>
    <n v="223.2"/>
    <n v="85.8"/>
    <n v="16188"/>
    <n v="1296.6719330855017"/>
    <m/>
    <n v="1587.706232"/>
    <m/>
    <n v="1174.5785900000001"/>
    <n v="798.55143036000004"/>
    <m/>
    <n v="653.40000000000009"/>
    <n v="40.50271"/>
    <m/>
    <n v="5022.3360400000001"/>
    <n v="18631.246600000002"/>
    <n v="0"/>
    <n v="1975.7419512195047"/>
  </r>
  <r>
    <x v="98"/>
    <x v="58"/>
    <m/>
    <s v="Recruiting"/>
    <s v="K"/>
    <n v="4"/>
    <s v="M"/>
    <s v="M2"/>
    <s v="A"/>
    <n v="1"/>
    <n v="100"/>
    <n v="1"/>
    <x v="4"/>
    <s v="140HR0"/>
    <x v="3"/>
    <s v="2110"/>
    <s v="673000"/>
    <m/>
    <m/>
    <n v="1"/>
    <n v="125656.94"/>
    <n v="125656.94"/>
    <n v="60725.354651605507"/>
    <n v="186382.29465160551"/>
    <n v="223.2"/>
    <n v="85.8"/>
    <n v="16188"/>
    <n v="1296.6719330855017"/>
    <m/>
    <n v="2462.8760240000001"/>
    <m/>
    <n v="1822.0256300000001"/>
    <n v="1238.72611452"/>
    <m/>
    <n v="653.40000000000009"/>
    <n v="62.828470000000003"/>
    <m/>
    <n v="7790.7302799999998"/>
    <n v="28901.096200000004"/>
    <n v="0"/>
    <n v="3064.8034146341379"/>
  </r>
  <r>
    <x v="99"/>
    <x v="59"/>
    <s v="@00098174"/>
    <s v="Hess, Resa H."/>
    <s v="G"/>
    <n v="10"/>
    <s v="M"/>
    <s v="M2"/>
    <s v="A"/>
    <n v="1"/>
    <n v="100"/>
    <n v="1"/>
    <x v="4"/>
    <s v="145HR5"/>
    <x v="3"/>
    <s v="2110"/>
    <s v="673000"/>
    <m/>
    <m/>
    <n v="1"/>
    <n v="106536.96000000001"/>
    <n v="106536.96000000001"/>
    <n v="54292.2844207655"/>
    <n v="160829.24442076549"/>
    <n v="223.2"/>
    <n v="85.8"/>
    <n v="16188"/>
    <n v="1296.6719330855017"/>
    <m/>
    <n v="2088.1244160000001"/>
    <m/>
    <n v="1544.7859200000003"/>
    <n v="1050.2413516800002"/>
    <m/>
    <n v="653.40000000000009"/>
    <n v="53.268480000000004"/>
    <m/>
    <n v="6605.2915200000007"/>
    <n v="24503.500800000002"/>
    <n v="0"/>
    <n v="2598.4624390243844"/>
  </r>
  <r>
    <x v="100"/>
    <x v="60"/>
    <s v="@00058074"/>
    <s v="Rock, Rebecca L."/>
    <s v="G"/>
    <n v="5"/>
    <s v="M"/>
    <s v="M2"/>
    <s v="A"/>
    <n v="1"/>
    <n v="100"/>
    <n v="1"/>
    <x v="4"/>
    <s v="122BS5"/>
    <x v="0"/>
    <s v="2110"/>
    <s v="672000"/>
    <m/>
    <m/>
    <n v="1"/>
    <n v="94163.15"/>
    <n v="94163.15"/>
    <n v="50129.017055785502"/>
    <n v="144292.16705578548"/>
    <n v="223.2"/>
    <n v="85.8"/>
    <n v="16188"/>
    <n v="1296.6719330855017"/>
    <m/>
    <n v="1845.5977399999999"/>
    <m/>
    <n v="1365.365675"/>
    <n v="928.26033269999994"/>
    <m/>
    <n v="653.40000000000009"/>
    <n v="47.081575000000001"/>
    <m/>
    <n v="5838.1152999999995"/>
    <n v="21657.5245"/>
    <n v="0"/>
    <n v="2296.6621951219422"/>
  </r>
  <r>
    <x v="101"/>
    <x v="61"/>
    <s v="@00671844"/>
    <s v="Blakemore, Tracy C."/>
    <s v="G"/>
    <n v="7"/>
    <s v="M"/>
    <s v="M2"/>
    <s v="A"/>
    <n v="1"/>
    <n v="100"/>
    <n v="1"/>
    <x v="4"/>
    <s v="122BS7"/>
    <x v="0"/>
    <s v="2110"/>
    <s v="672000"/>
    <m/>
    <m/>
    <n v="1"/>
    <n v="98930.16"/>
    <n v="98930.16"/>
    <n v="51732.915706365515"/>
    <n v="150663.07570636552"/>
    <n v="223.2"/>
    <n v="85.8"/>
    <n v="16188"/>
    <n v="1296.6719330855017"/>
    <m/>
    <n v="1939.0311360000001"/>
    <m/>
    <n v="1434.4873200000002"/>
    <n v="975.2535172800001"/>
    <m/>
    <n v="653.40000000000009"/>
    <n v="49.46508"/>
    <m/>
    <n v="6133.6699200000003"/>
    <n v="22753.936800000003"/>
    <n v="0"/>
    <n v="2412.9307317073108"/>
  </r>
  <r>
    <x v="102"/>
    <x v="62"/>
    <s v="@00621333"/>
    <s v="Kerwin, Kevin M."/>
    <s v="G"/>
    <n v="4"/>
    <s v="M"/>
    <s v="M2"/>
    <s v="A"/>
    <n v="1"/>
    <n v="100"/>
    <n v="1"/>
    <x v="4"/>
    <s v="122BS4"/>
    <x v="0"/>
    <s v="2110"/>
    <s v="672000"/>
    <m/>
    <m/>
    <n v="1"/>
    <n v="91866.48"/>
    <n v="91866.48"/>
    <n v="49356.284060925507"/>
    <n v="141222.76406092552"/>
    <n v="223.2"/>
    <n v="85.8"/>
    <n v="16188"/>
    <n v="1296.6719330855017"/>
    <m/>
    <n v="1800.5830079999998"/>
    <m/>
    <n v="1332.06396"/>
    <n v="905.61975984000003"/>
    <m/>
    <n v="653.40000000000009"/>
    <n v="45.933239999999998"/>
    <m/>
    <n v="5695.7217599999994"/>
    <n v="21129.290400000002"/>
    <n v="0"/>
    <n v="2240.6458536585269"/>
  </r>
  <r>
    <x v="103"/>
    <x v="63"/>
    <s v="@00648365"/>
    <s v="Miller-Galaz, Michelle"/>
    <s v="I"/>
    <n v="1"/>
    <s v="M"/>
    <s v="M2"/>
    <s v="A"/>
    <n v="1"/>
    <n v="100"/>
    <n v="1"/>
    <x v="4"/>
    <s v="110ES1"/>
    <x v="1"/>
    <s v="2110"/>
    <s v="679000"/>
    <m/>
    <m/>
    <n v="1"/>
    <n v="102704.39"/>
    <n v="102704.39"/>
    <n v="44105.949617162754"/>
    <n v="146810.33961716277"/>
    <n v="111.6"/>
    <n v="42.9"/>
    <n v="8094"/>
    <n v="648.33596654275084"/>
    <m/>
    <n v="2013.006044"/>
    <m/>
    <n v="1489.213655"/>
    <n v="1012.45987662"/>
    <m/>
    <n v="653.40000000000009"/>
    <n v="51.352195000000002"/>
    <m/>
    <n v="6367.6721799999996"/>
    <n v="23622.009700000002"/>
    <n v="0"/>
    <n v="2504.9851219512057"/>
  </r>
  <r>
    <x v="104"/>
    <x v="64"/>
    <s v="@00511332"/>
    <s v="Hillard-Adams, Danielle K."/>
    <s v="F"/>
    <n v="11"/>
    <s v="M"/>
    <s v="M2"/>
    <s v="A"/>
    <n v="1"/>
    <n v="100"/>
    <n v="1"/>
    <x v="4"/>
    <s v="D01CO2"/>
    <x v="2"/>
    <s v="2110"/>
    <s v="660010"/>
    <m/>
    <m/>
    <n v="1"/>
    <n v="104772.96"/>
    <n v="104772.96"/>
    <n v="53698.772508765513"/>
    <n v="158471.73250876553"/>
    <n v="223.2"/>
    <n v="85.8"/>
    <n v="16188"/>
    <n v="1296.6719330855017"/>
    <m/>
    <n v="2053.5500160000001"/>
    <m/>
    <n v="1519.2079200000001"/>
    <n v="1032.85183968"/>
    <m/>
    <n v="653.40000000000009"/>
    <n v="52.386480000000006"/>
    <m/>
    <n v="6495.9235200000003"/>
    <n v="24097.780800000004"/>
    <n v="0"/>
    <n v="2555.4380487804738"/>
  </r>
  <r>
    <x v="105"/>
    <x v="65"/>
    <s v="@00545453"/>
    <s v="Hine, Christopher W."/>
    <s v="M"/>
    <n v="11"/>
    <s v="M"/>
    <s v="M2"/>
    <s v="A"/>
    <n v="1"/>
    <n v="100"/>
    <n v="1"/>
    <x v="4"/>
    <s v="150LE0"/>
    <x v="6"/>
    <s v="2110"/>
    <s v="660030"/>
    <m/>
    <m/>
    <n v="1"/>
    <n v="210524.63"/>
    <n v="210524.63"/>
    <n v="84467.040833625506"/>
    <n v="294991.67083362548"/>
    <n v="223.2"/>
    <n v="85.8"/>
    <n v="16188"/>
    <n v="1296.6719330855017"/>
    <m/>
    <n v="4126.2827479999996"/>
    <m/>
    <n v="3052.6071350000002"/>
    <n v="2075.3518025400003"/>
    <m/>
    <n v="653.40000000000009"/>
    <n v="105.262315"/>
    <m/>
    <n v="8239.7999999999993"/>
    <n v="48420.664900000003"/>
    <n v="0"/>
    <n v="5134.7470731706999"/>
  </r>
  <r>
    <x v="106"/>
    <x v="66"/>
    <s v="@00658448"/>
    <s v="Mondragon, Hernando"/>
    <s v="G"/>
    <n v="4"/>
    <s v="M"/>
    <s v="M2"/>
    <s v="A"/>
    <n v="1"/>
    <n v="100"/>
    <n v="1"/>
    <x v="4"/>
    <s v="133II0"/>
    <x v="4"/>
    <s v="2110"/>
    <s v="678000"/>
    <m/>
    <m/>
    <n v="1"/>
    <n v="91866.48"/>
    <n v="91866.48"/>
    <n v="49356.284060925507"/>
    <n v="141222.76406092552"/>
    <n v="223.2"/>
    <n v="85.8"/>
    <n v="16188"/>
    <n v="1296.6719330855017"/>
    <m/>
    <n v="1800.5830079999998"/>
    <m/>
    <n v="1332.06396"/>
    <n v="905.61975984000003"/>
    <m/>
    <n v="653.40000000000009"/>
    <n v="45.933239999999998"/>
    <m/>
    <n v="5695.7217599999994"/>
    <n v="21129.290400000002"/>
    <n v="0"/>
    <n v="2240.6458536585269"/>
  </r>
  <r>
    <x v="107"/>
    <x v="67"/>
    <s v="@00006644"/>
    <s v="Grubbs, Joseph E."/>
    <s v="J"/>
    <n v="6"/>
    <s v="M"/>
    <s v="M2"/>
    <s v="A"/>
    <n v="1"/>
    <n v="100"/>
    <n v="1"/>
    <x v="4"/>
    <s v="140HR6"/>
    <x v="3"/>
    <s v="2110"/>
    <s v="677050"/>
    <m/>
    <m/>
    <n v="1"/>
    <n v="124351.96"/>
    <n v="124351.96"/>
    <n v="60286.283690765507"/>
    <n v="184638.24369076552"/>
    <n v="223.2"/>
    <n v="85.8"/>
    <n v="16188"/>
    <n v="1296.6719330855017"/>
    <m/>
    <n v="2437.2984160000001"/>
    <m/>
    <n v="1803.1034200000001"/>
    <n v="1225.8616216800001"/>
    <m/>
    <n v="653.40000000000009"/>
    <n v="62.175980000000003"/>
    <m/>
    <n v="7709.8215200000004"/>
    <n v="28600.950800000002"/>
    <n v="0"/>
    <n v="3032.9746341463324"/>
  </r>
  <r>
    <x v="108"/>
    <x v="68"/>
    <s v="@00627631"/>
    <s v="Alexander, Steven M."/>
    <s v="K"/>
    <n v="9"/>
    <s v="M"/>
    <s v="M2"/>
    <s v="A"/>
    <n v="1"/>
    <n v="100"/>
    <n v="1"/>
    <x v="4"/>
    <s v="131IS0"/>
    <x v="4"/>
    <s v="2110"/>
    <s v="678000"/>
    <m/>
    <m/>
    <n v="1"/>
    <n v="142169.29"/>
    <n v="142169.29"/>
    <n v="65706.370927905504"/>
    <n v="207875.66092790553"/>
    <n v="223.2"/>
    <n v="85.8"/>
    <n v="16188"/>
    <n v="1296.6719330855017"/>
    <m/>
    <n v="2786.5180840000003"/>
    <m/>
    <n v="2061.4547050000001"/>
    <n v="1401.5048608200002"/>
    <m/>
    <n v="653.40000000000009"/>
    <n v="71.084645000000009"/>
    <m/>
    <n v="8239.7999999999993"/>
    <n v="32698.936700000002"/>
    <n v="0"/>
    <n v="3467.5436585365678"/>
  </r>
  <r>
    <x v="109"/>
    <x v="69"/>
    <m/>
    <m/>
    <m/>
    <m/>
    <s v="M"/>
    <s v="M2"/>
    <s v="A"/>
    <n v="0"/>
    <m/>
    <m/>
    <x v="4"/>
    <s v="160OP0"/>
    <x v="9"/>
    <s v="2110"/>
    <s v="678000"/>
    <m/>
    <m/>
    <n v="0"/>
    <m/>
    <n v="0"/>
    <n v="0"/>
    <n v="0"/>
    <m/>
    <m/>
    <m/>
    <n v="0"/>
    <m/>
    <n v="0"/>
    <m/>
    <n v="0"/>
    <n v="0"/>
    <m/>
    <n v="0"/>
    <n v="0"/>
    <m/>
    <n v="0"/>
    <n v="0"/>
    <n v="0"/>
    <n v="0"/>
  </r>
  <r>
    <x v="110"/>
    <x v="70"/>
    <s v="@00006798"/>
    <s v="Steele, Bonita"/>
    <s v="I"/>
    <n v="10"/>
    <s v="M"/>
    <s v="M2"/>
    <s v="A"/>
    <n v="1"/>
    <n v="100"/>
    <n v="1"/>
    <x v="4"/>
    <s v="11BA01"/>
    <x v="1"/>
    <s v="2110"/>
    <s v="679000"/>
    <m/>
    <m/>
    <n v="1"/>
    <n v="128263.71"/>
    <n v="128263.71"/>
    <n v="61602.423272265507"/>
    <n v="189866.13327226552"/>
    <n v="223.2"/>
    <n v="85.8"/>
    <n v="16188"/>
    <n v="1296.6719330855017"/>
    <m/>
    <n v="2513.9687159999999"/>
    <m/>
    <n v="1859.8237950000002"/>
    <n v="1264.4236531800002"/>
    <m/>
    <n v="653.40000000000009"/>
    <n v="64.131855000000002"/>
    <m/>
    <n v="7952.3500200000008"/>
    <n v="29500.653300000002"/>
    <n v="0"/>
    <n v="3128.3831707317004"/>
  </r>
  <r>
    <x v="111"/>
    <x v="71"/>
    <s v="@00265950"/>
    <s v="Barnett, David R."/>
    <s v="I"/>
    <n v="12"/>
    <s v="M"/>
    <s v="M2"/>
    <s v="A"/>
    <n v="1"/>
    <n v="100"/>
    <n v="1"/>
    <x v="4"/>
    <s v="132EA0"/>
    <x v="4"/>
    <s v="2110"/>
    <s v="678000"/>
    <m/>
    <m/>
    <n v="1"/>
    <n v="134757.07"/>
    <n v="134757.07"/>
    <n v="63672.027851145496"/>
    <n v="198429.09785114549"/>
    <n v="223.2"/>
    <n v="85.8"/>
    <n v="16188"/>
    <n v="1296.6719330855017"/>
    <m/>
    <n v="2641.2385720000002"/>
    <m/>
    <n v="1953.9775150000003"/>
    <n v="1328.4351960600002"/>
    <m/>
    <n v="653.40000000000009"/>
    <n v="67.378534999999999"/>
    <m/>
    <n v="8239.7999999999993"/>
    <n v="30994.126100000001"/>
    <n v="0"/>
    <n v="3286.7578048780269"/>
  </r>
  <r>
    <x v="112"/>
    <x v="72"/>
    <s v="@00630702"/>
    <s v="Moser, Gary"/>
    <s v="M"/>
    <n v="9"/>
    <s v="M"/>
    <s v="M2"/>
    <s v="A"/>
    <n v="1"/>
    <n v="100"/>
    <n v="1"/>
    <x v="4"/>
    <s v="130IT0"/>
    <x v="4"/>
    <s v="2110"/>
    <s v="678000"/>
    <m/>
    <m/>
    <n v="1"/>
    <n v="200380.37"/>
    <n v="200380.37"/>
    <n v="81682.867522545508"/>
    <n v="282063.2375225455"/>
    <n v="223.2"/>
    <n v="85.8"/>
    <n v="16188"/>
    <n v="1296.6719330855017"/>
    <m/>
    <n v="3927.4552519999997"/>
    <m/>
    <n v="2905.5153650000002"/>
    <n v="1975.34968746"/>
    <m/>
    <n v="653.40000000000009"/>
    <n v="100.190185"/>
    <m/>
    <n v="8239.7999999999993"/>
    <n v="46087.485099999998"/>
    <n v="0"/>
    <n v="4887.3260975609592"/>
  </r>
  <r>
    <x v="113"/>
    <x v="73"/>
    <s v="@00357519"/>
    <s v="Kegley, Stephen L."/>
    <s v="H"/>
    <n v="10"/>
    <s v="M"/>
    <s v="M2"/>
    <s v="A"/>
    <n v="1"/>
    <n v="100"/>
    <n v="1"/>
    <x v="4"/>
    <s v="132EA0"/>
    <x v="4"/>
    <s v="2110"/>
    <s v="678000"/>
    <m/>
    <m/>
    <n v="1"/>
    <n v="117770.98"/>
    <n v="117770.98"/>
    <n v="58072.060321925499"/>
    <n v="175843.04032192548"/>
    <n v="223.2"/>
    <n v="85.8"/>
    <n v="16188"/>
    <n v="1296.6719330855017"/>
    <m/>
    <n v="2308.3112079999996"/>
    <m/>
    <n v="1707.67921"/>
    <n v="1160.98632084"/>
    <m/>
    <n v="653.40000000000009"/>
    <n v="58.885489999999997"/>
    <m/>
    <n v="7301.8007600000001"/>
    <n v="27087.325400000002"/>
    <n v="0"/>
    <n v="2872.4629268292629"/>
  </r>
  <r>
    <x v="114"/>
    <x v="74"/>
    <s v="@00002837"/>
    <s v="Alvarado, Eddie D."/>
    <s v="I"/>
    <n v="12"/>
    <s v="M"/>
    <s v="M2"/>
    <s v="A"/>
    <n v="1"/>
    <n v="100"/>
    <n v="1"/>
    <x v="4"/>
    <s v="133II0"/>
    <x v="4"/>
    <s v="2110"/>
    <s v="678000"/>
    <m/>
    <m/>
    <n v="1"/>
    <n v="134757.07"/>
    <n v="134757.07"/>
    <n v="63852.027851145504"/>
    <n v="198609.09785114552"/>
    <n v="223.2"/>
    <n v="85.8"/>
    <n v="16188"/>
    <n v="1296.6719330855017"/>
    <n v="180"/>
    <n v="2641.2385720000002"/>
    <m/>
    <n v="1953.9775150000003"/>
    <n v="1328.4351960600002"/>
    <m/>
    <n v="653.40000000000009"/>
    <n v="67.378534999999999"/>
    <m/>
    <n v="8239.7999999999993"/>
    <n v="30994.126100000001"/>
    <n v="0"/>
    <n v="3286.7578048780269"/>
  </r>
  <r>
    <x v="115"/>
    <x v="61"/>
    <s v="@00025957"/>
    <s v="Jacob, Cathi S."/>
    <s v="G"/>
    <n v="5"/>
    <s v="M"/>
    <s v="M2"/>
    <s v="A"/>
    <n v="1"/>
    <n v="100"/>
    <n v="1"/>
    <x v="4"/>
    <s v="122BS2"/>
    <x v="0"/>
    <s v="2110"/>
    <s v="672000"/>
    <m/>
    <m/>
    <n v="1"/>
    <n v="94163.15"/>
    <n v="94163.15"/>
    <n v="50129.017055785502"/>
    <n v="144292.16705578548"/>
    <n v="223.2"/>
    <n v="85.8"/>
    <n v="16188"/>
    <n v="1296.6719330855017"/>
    <m/>
    <n v="1845.5977399999999"/>
    <m/>
    <n v="1365.365675"/>
    <n v="928.26033269999994"/>
    <m/>
    <n v="653.40000000000009"/>
    <n v="47.081575000000001"/>
    <m/>
    <n v="5838.1152999999995"/>
    <n v="21657.5245"/>
    <n v="0"/>
    <n v="2296.6621951219422"/>
  </r>
  <r>
    <x v="116"/>
    <x v="75"/>
    <s v="@00511882"/>
    <s v="Ehret-Stevens, Cammie"/>
    <s v="F"/>
    <n v="2"/>
    <s v="M"/>
    <s v="M2"/>
    <s v="A"/>
    <n v="1"/>
    <n v="100"/>
    <n v="1"/>
    <x v="4"/>
    <s v="120BS1"/>
    <x v="0"/>
    <s v="2110"/>
    <s v="672000"/>
    <m/>
    <m/>
    <n v="1"/>
    <n v="83894.68"/>
    <n v="83894.68"/>
    <n v="46674.108176525493"/>
    <n v="130568.78817652549"/>
    <n v="223.2"/>
    <n v="85.8"/>
    <n v="16188"/>
    <n v="1296.6719330855017"/>
    <m/>
    <n v="1644.3357279999998"/>
    <m/>
    <n v="1216.4728599999999"/>
    <n v="827.03375543999994"/>
    <m/>
    <n v="653.40000000000009"/>
    <n v="41.947339999999997"/>
    <m/>
    <n v="5201.4701599999999"/>
    <n v="19295.776399999999"/>
    <n v="0"/>
    <n v="2046.2117073170666"/>
  </r>
  <r>
    <x v="117"/>
    <x v="76"/>
    <m/>
    <m/>
    <s v="G"/>
    <n v="1"/>
    <s v="M"/>
    <s v="M2"/>
    <s v="A"/>
    <n v="1"/>
    <n v="100"/>
    <n v="1"/>
    <x v="4"/>
    <s v="120BS0"/>
    <x v="0"/>
    <n v="2110"/>
    <n v="672000"/>
    <m/>
    <m/>
    <n v="1"/>
    <n v="82325.64"/>
    <n v="82325.64"/>
    <n v="46146.192116205508"/>
    <n v="128471.83211620551"/>
    <n v="223.2"/>
    <n v="85.8"/>
    <n v="16188"/>
    <n v="1296.6719330855017"/>
    <m/>
    <n v="1613.5825439999999"/>
    <m/>
    <n v="1193.7217800000001"/>
    <n v="811.56615912000007"/>
    <m/>
    <n v="653.40000000000009"/>
    <n v="41.162820000000004"/>
    <m/>
    <n v="5104.1896799999995"/>
    <n v="18934.897199999999"/>
    <n v="0"/>
    <n v="2007.9424390243803"/>
  </r>
  <r>
    <x v="118"/>
    <x v="77"/>
    <s v="@00000301"/>
    <s v="Strough, Terry L."/>
    <s v="310"/>
    <n v="2"/>
    <s v="C"/>
    <s v="CK"/>
    <s v="A"/>
    <n v="0"/>
    <n v="100"/>
    <n v="1"/>
    <x v="4"/>
    <s v="R01BT1"/>
    <x v="7"/>
    <s v="2399"/>
    <s v="660020"/>
    <s v="DTL001"/>
    <m/>
    <n v="0"/>
    <n v="0"/>
    <n v="0"/>
    <n v="0"/>
    <n v="0"/>
    <m/>
    <m/>
    <m/>
    <n v="0"/>
    <m/>
    <n v="0"/>
    <m/>
    <n v="0"/>
    <n v="0"/>
    <m/>
    <n v="0"/>
    <n v="0"/>
    <m/>
    <n v="0"/>
    <n v="0"/>
    <n v="0"/>
    <n v="0"/>
  </r>
  <r>
    <x v="119"/>
    <x v="78"/>
    <s v="@00030684"/>
    <s v="Batchelder, Ann"/>
    <s v="465"/>
    <n v="1"/>
    <s v="C"/>
    <s v="CK"/>
    <s v="A"/>
    <n v="0"/>
    <n v="100"/>
    <n v="0"/>
    <x v="4"/>
    <s v="122BS2"/>
    <x v="0"/>
    <s v="2399"/>
    <s v="672000"/>
    <m/>
    <m/>
    <n v="0"/>
    <m/>
    <n v="0"/>
    <n v="0"/>
    <n v="0"/>
    <m/>
    <m/>
    <m/>
    <n v="0"/>
    <m/>
    <n v="0"/>
    <m/>
    <n v="0"/>
    <n v="0"/>
    <m/>
    <n v="0"/>
    <n v="0"/>
    <m/>
    <n v="0"/>
    <n v="0"/>
    <n v="0"/>
    <n v="0"/>
  </r>
  <r>
    <x v="120"/>
    <x v="79"/>
    <s v="@00144488"/>
    <s v="Duffel, Debbie L."/>
    <s v="410"/>
    <n v="1"/>
    <s v="C"/>
    <s v="CK"/>
    <s v="A"/>
    <n v="0"/>
    <n v="100"/>
    <n v="0"/>
    <x v="4"/>
    <s v="122BS3"/>
    <x v="0"/>
    <s v="2399"/>
    <s v="672000"/>
    <m/>
    <m/>
    <n v="0"/>
    <m/>
    <n v="0"/>
    <n v="0"/>
    <n v="0"/>
    <m/>
    <m/>
    <m/>
    <n v="0"/>
    <m/>
    <n v="0"/>
    <m/>
    <n v="0"/>
    <n v="0"/>
    <m/>
    <n v="0"/>
    <n v="0"/>
    <m/>
    <n v="0"/>
    <n v="0"/>
    <n v="0"/>
    <n v="0"/>
  </r>
  <r>
    <x v="121"/>
    <x v="80"/>
    <s v="@00077219"/>
    <s v="Agbalog, Romeo V."/>
    <m/>
    <m/>
    <s v="T"/>
    <s v="T0"/>
    <s v="A"/>
    <n v="1"/>
    <n v="100"/>
    <n v="1"/>
    <x v="4"/>
    <s v="R01BT1"/>
    <x v="7"/>
    <n v="2110"/>
    <n v="660020"/>
    <m/>
    <m/>
    <n v="1"/>
    <n v="3600"/>
    <n v="3600"/>
    <n v="17989.360733085501"/>
    <n v="21589.360733085501"/>
    <n v="223.2"/>
    <n v="85.8"/>
    <n v="16188"/>
    <n v="1296.6719330855017"/>
    <m/>
    <n v="70.56"/>
    <m/>
    <n v="52.2"/>
    <n v="35.488800000000005"/>
    <m/>
    <n v="35.64"/>
    <n v="1.8"/>
    <m/>
    <m/>
    <m/>
    <n v="0"/>
    <n v="0"/>
  </r>
  <r>
    <x v="122"/>
    <x v="80"/>
    <s v="@00004076"/>
    <s v="Meek, Kay S."/>
    <m/>
    <m/>
    <s v="T"/>
    <s v="T0"/>
    <s v="A"/>
    <n v="1"/>
    <n v="100"/>
    <n v="1"/>
    <x v="4"/>
    <s v="R01BT1"/>
    <x v="7"/>
    <n v="2110"/>
    <n v="660020"/>
    <m/>
    <m/>
    <n v="1"/>
    <n v="3600"/>
    <n v="3600"/>
    <n v="17989.360733085501"/>
    <n v="21589.360733085501"/>
    <n v="223.2"/>
    <n v="85.8"/>
    <n v="16188"/>
    <n v="1296.6719330855017"/>
    <m/>
    <n v="70.56"/>
    <m/>
    <n v="52.2"/>
    <n v="35.488800000000005"/>
    <m/>
    <n v="35.64"/>
    <n v="1.8"/>
    <m/>
    <m/>
    <m/>
    <n v="0"/>
    <n v="0"/>
  </r>
  <r>
    <x v="123"/>
    <x v="80"/>
    <s v="@00343762"/>
    <s v="Corkins, John S."/>
    <m/>
    <m/>
    <s v="T"/>
    <s v="T0"/>
    <s v="A"/>
    <n v="1"/>
    <n v="100"/>
    <n v="1"/>
    <x v="4"/>
    <s v="R01BT1"/>
    <x v="7"/>
    <n v="2110"/>
    <n v="660020"/>
    <m/>
    <m/>
    <n v="1"/>
    <n v="3600"/>
    <n v="3600"/>
    <n v="17989.360733085501"/>
    <n v="21589.360733085501"/>
    <n v="223.2"/>
    <n v="85.8"/>
    <n v="16188"/>
    <n v="1296.6719330855017"/>
    <m/>
    <n v="70.56"/>
    <m/>
    <n v="52.2"/>
    <n v="35.488800000000005"/>
    <m/>
    <n v="35.64"/>
    <n v="1.8"/>
    <m/>
    <m/>
    <m/>
    <n v="0"/>
    <n v="0"/>
  </r>
  <r>
    <x v="124"/>
    <x v="80"/>
    <s v="@00002100"/>
    <s v="Gomez-Heitzberg, Nan"/>
    <m/>
    <m/>
    <s v="T"/>
    <s v="T0"/>
    <s v="A"/>
    <n v="1"/>
    <n v="100"/>
    <n v="1"/>
    <x v="4"/>
    <s v="R01BT1"/>
    <x v="7"/>
    <n v="2110"/>
    <n v="660020"/>
    <m/>
    <m/>
    <n v="1"/>
    <n v="3600"/>
    <n v="3600"/>
    <n v="17989.360733085501"/>
    <n v="21589.360733085501"/>
    <n v="223.2"/>
    <n v="85.8"/>
    <n v="16188"/>
    <n v="1296.6719330855017"/>
    <m/>
    <n v="70.56"/>
    <m/>
    <n v="52.2"/>
    <n v="35.488800000000005"/>
    <m/>
    <n v="35.64"/>
    <n v="1.8"/>
    <m/>
    <m/>
    <m/>
    <n v="0"/>
    <n v="0"/>
  </r>
  <r>
    <x v="125"/>
    <x v="80"/>
    <s v="@00568705"/>
    <s v="Storch, Mark G."/>
    <m/>
    <m/>
    <s v="T"/>
    <s v="T0"/>
    <s v="A"/>
    <n v="1"/>
    <n v="100"/>
    <n v="1"/>
    <x v="4"/>
    <s v="R01BT1"/>
    <x v="7"/>
    <n v="2110"/>
    <n v="660020"/>
    <m/>
    <m/>
    <n v="1"/>
    <n v="3600"/>
    <n v="3600"/>
    <n v="17989.360733085501"/>
    <n v="21589.360733085501"/>
    <n v="223.2"/>
    <n v="85.8"/>
    <n v="16188"/>
    <n v="1296.6719330855017"/>
    <m/>
    <n v="70.56"/>
    <m/>
    <n v="52.2"/>
    <n v="35.488800000000005"/>
    <m/>
    <n v="35.64"/>
    <n v="1.8"/>
    <m/>
    <m/>
    <m/>
    <n v="0"/>
    <n v="0"/>
  </r>
  <r>
    <x v="126"/>
    <x v="80"/>
    <s v="@00594135"/>
    <s v="Carter, Kyle"/>
    <m/>
    <m/>
    <s v="T"/>
    <s v="T0"/>
    <s v="A"/>
    <n v="1"/>
    <n v="100"/>
    <n v="1"/>
    <x v="4"/>
    <s v="R01BT1"/>
    <x v="7"/>
    <n v="2110"/>
    <n v="660020"/>
    <m/>
    <m/>
    <n v="1"/>
    <n v="3600"/>
    <n v="3600"/>
    <n v="17989.360733085501"/>
    <n v="21589.360733085501"/>
    <n v="223.2"/>
    <n v="85.8"/>
    <n v="16188"/>
    <n v="1296.6719330855017"/>
    <m/>
    <n v="70.56"/>
    <m/>
    <n v="52.2"/>
    <n v="35.488800000000005"/>
    <m/>
    <n v="35.64"/>
    <n v="1.8"/>
    <m/>
    <m/>
    <m/>
    <n v="0"/>
    <n v="0"/>
  </r>
  <r>
    <x v="127"/>
    <x v="80"/>
    <m/>
    <s v="Jimenez, Yovani"/>
    <m/>
    <m/>
    <s v="T"/>
    <s v="T0"/>
    <s v="A"/>
    <n v="1"/>
    <n v="100"/>
    <n v="1"/>
    <x v="4"/>
    <s v="R01BT1"/>
    <x v="7"/>
    <n v="2110"/>
    <n v="660020"/>
    <m/>
    <m/>
    <n v="1"/>
    <n v="3600"/>
    <n v="3600"/>
    <n v="17989.360733085501"/>
    <n v="21589.360733085501"/>
    <n v="223.2"/>
    <n v="85.8"/>
    <n v="16188"/>
    <n v="1296.6719330855017"/>
    <m/>
    <n v="70.56"/>
    <m/>
    <n v="52.2"/>
    <n v="35.488800000000005"/>
    <m/>
    <n v="35.64"/>
    <n v="1.8"/>
    <m/>
    <m/>
    <m/>
    <n v="0"/>
    <n v="0"/>
  </r>
  <r>
    <x v="128"/>
    <x v="81"/>
    <m/>
    <m/>
    <m/>
    <m/>
    <s v="C"/>
    <s v="CK"/>
    <s v="A"/>
    <n v="0"/>
    <m/>
    <m/>
    <x v="4"/>
    <s v="122BS3"/>
    <x v="0"/>
    <s v="2399"/>
    <s v="672000"/>
    <s v="DTL001"/>
    <m/>
    <n v="0"/>
    <m/>
    <n v="0"/>
    <n v="0"/>
    <n v="0"/>
    <m/>
    <m/>
    <m/>
    <n v="0"/>
    <m/>
    <n v="0"/>
    <m/>
    <n v="0"/>
    <n v="0"/>
    <m/>
    <n v="0"/>
    <n v="0"/>
    <m/>
    <n v="0"/>
    <n v="0"/>
    <n v="0"/>
    <n v="0"/>
  </r>
  <r>
    <x v="129"/>
    <x v="82"/>
    <m/>
    <m/>
    <m/>
    <m/>
    <s v="C"/>
    <s v="CK"/>
    <s v="A"/>
    <n v="1"/>
    <m/>
    <m/>
    <x v="4"/>
    <s v="122BS7"/>
    <x v="0"/>
    <s v="2399"/>
    <s v="672000"/>
    <m/>
    <m/>
    <n v="0"/>
    <m/>
    <n v="0"/>
    <n v="0"/>
    <n v="0"/>
    <m/>
    <m/>
    <m/>
    <n v="0"/>
    <m/>
    <n v="0"/>
    <m/>
    <n v="0"/>
    <n v="0"/>
    <m/>
    <n v="0"/>
    <n v="0"/>
    <m/>
    <n v="0"/>
    <n v="0"/>
    <n v="0"/>
    <n v="0"/>
  </r>
  <r>
    <x v="130"/>
    <x v="19"/>
    <s v="@00355529"/>
    <s v="Cisneros, Rafaela T."/>
    <s v="465"/>
    <n v="14"/>
    <s v="C"/>
    <s v="CA"/>
    <s v="A"/>
    <n v="1"/>
    <n v="100"/>
    <n v="1"/>
    <x v="5"/>
    <s v="18F000"/>
    <x v="10"/>
    <s v="2191"/>
    <s v="711001"/>
    <m/>
    <m/>
    <n v="0.2"/>
    <n v="80317.726800000004"/>
    <n v="16063.545360000002"/>
    <n v="9094.122731351983"/>
    <n v="25157.668091351985"/>
    <n v="44.64"/>
    <n v="17.16"/>
    <n v="3237.6000000000004"/>
    <n v="259.33438661710034"/>
    <m/>
    <n v="314.84548905600002"/>
    <m/>
    <n v="232.92140772000005"/>
    <n v="158.35443015888004"/>
    <m/>
    <n v="130.68000000000004"/>
    <n v="8.0317726800000013"/>
    <m/>
    <n v="995.9398123200001"/>
    <n v="3694.6154328000007"/>
    <n v="391.79378926829122"/>
    <n v="0"/>
  </r>
  <r>
    <x v="131"/>
    <x v="9"/>
    <s v="@00486139"/>
    <s v="Crews, Kimberly A."/>
    <s v="445"/>
    <n v="14"/>
    <s v="C"/>
    <s v="CA"/>
    <s v="A"/>
    <n v="1"/>
    <n v="100"/>
    <n v="1"/>
    <x v="5"/>
    <s v="18F000"/>
    <x v="10"/>
    <s v="2191"/>
    <s v="711001"/>
    <m/>
    <m/>
    <n v="0.2"/>
    <n v="72763.838900000032"/>
    <n v="14552.767780000007"/>
    <n v="8585.8095283403436"/>
    <n v="23138.577308340351"/>
    <n v="44.64"/>
    <n v="17.16"/>
    <n v="3237.6000000000004"/>
    <n v="259.33438661710034"/>
    <m/>
    <n v="285.23424848800016"/>
    <m/>
    <n v="211.01513281000013"/>
    <n v="143.46118477524007"/>
    <m/>
    <n v="130.68000000000004"/>
    <n v="7.2763838900000035"/>
    <m/>
    <n v="902.27160236000043"/>
    <n v="3347.1365894000019"/>
    <n v="354.94555560975459"/>
    <n v="0"/>
  </r>
  <r>
    <x v="132"/>
    <x v="83"/>
    <s v="@00410497"/>
    <s v="DeRosa, Joseph J."/>
    <s v="G"/>
    <n v="12"/>
    <s v="M"/>
    <s v="M2"/>
    <s v="A"/>
    <n v="1"/>
    <n v="100"/>
    <n v="1"/>
    <x v="5"/>
    <s v="18F000"/>
    <x v="10"/>
    <s v="2110"/>
    <s v="711001"/>
    <m/>
    <m/>
    <n v="0.2"/>
    <n v="117770.98"/>
    <n v="23554.196"/>
    <n v="11614.412064385102"/>
    <n v="35168.608064385102"/>
    <n v="44.64"/>
    <n v="17.16"/>
    <n v="3237.6000000000004"/>
    <n v="259.33438661710034"/>
    <m/>
    <n v="461.66224159999996"/>
    <m/>
    <n v="341.535842"/>
    <n v="232.197264168"/>
    <m/>
    <n v="130.68000000000004"/>
    <n v="11.777098000000001"/>
    <m/>
    <n v="1460.360152"/>
    <n v="5417.4650799999999"/>
    <n v="0"/>
    <n v="574.4925853658533"/>
  </r>
  <r>
    <x v="133"/>
    <x v="83"/>
    <s v="@00020504"/>
    <s v="Reed, Daniel W."/>
    <s v="G"/>
    <n v="12"/>
    <s v="M"/>
    <s v="M2"/>
    <s v="A"/>
    <n v="1"/>
    <n v="100"/>
    <n v="1"/>
    <x v="5"/>
    <s v="18F000"/>
    <x v="10"/>
    <s v="2110"/>
    <s v="713000"/>
    <m/>
    <m/>
    <n v="0.2"/>
    <n v="117770.98"/>
    <n v="23554.196"/>
    <n v="11614.412064385102"/>
    <n v="35168.608064385102"/>
    <n v="44.64"/>
    <n v="17.16"/>
    <n v="3237.6000000000004"/>
    <n v="259.33438661710034"/>
    <m/>
    <n v="461.66224159999996"/>
    <m/>
    <n v="341.535842"/>
    <n v="232.197264168"/>
    <m/>
    <n v="130.68000000000004"/>
    <n v="11.777098000000001"/>
    <m/>
    <n v="1460.360152"/>
    <n v="5417.4650799999999"/>
    <n v="0"/>
    <n v="574.4925853658533"/>
  </r>
  <r>
    <x v="134"/>
    <x v="83"/>
    <s v="@00622576"/>
    <s v="Hernandez, Nicholas"/>
    <s v="G"/>
    <n v="12"/>
    <s v="M"/>
    <s v="M2"/>
    <s v="A"/>
    <n v="1"/>
    <n v="100"/>
    <n v="1"/>
    <x v="5"/>
    <s v="18F000"/>
    <x v="10"/>
    <s v="2110"/>
    <s v="711001"/>
    <m/>
    <m/>
    <n v="0.2"/>
    <n v="120715.25"/>
    <n v="24143.050000000003"/>
    <n v="11812.536703517104"/>
    <n v="35955.58670351711"/>
    <n v="44.64"/>
    <n v="17.16"/>
    <n v="3237.6000000000004"/>
    <n v="259.33438661710034"/>
    <m/>
    <n v="473.20378000000005"/>
    <m/>
    <n v="350.07422500000007"/>
    <n v="238.00218690000003"/>
    <m/>
    <n v="130.68000000000004"/>
    <n v="12.071525000000001"/>
    <m/>
    <n v="1496.8691000000001"/>
    <n v="5552.9015000000009"/>
    <n v="0"/>
    <n v="588.85487804877994"/>
  </r>
  <r>
    <x v="135"/>
    <x v="84"/>
    <s v="@00726504"/>
    <s v="Rowles, Randall L."/>
    <s v="L"/>
    <n v="12"/>
    <s v="M"/>
    <s v="M2"/>
    <s v="A"/>
    <n v="1"/>
    <n v="100"/>
    <n v="1"/>
    <x v="5"/>
    <s v="18F000"/>
    <x v="10"/>
    <s v="2110"/>
    <s v="711001"/>
    <m/>
    <m/>
    <n v="0.2"/>
    <n v="172538.91"/>
    <n v="34507.781999999999"/>
    <n v="14808.311218773102"/>
    <n v="49316.093218773101"/>
    <n v="44.64"/>
    <n v="17.16"/>
    <n v="3237.6000000000004"/>
    <n v="259.33438661710034"/>
    <m/>
    <n v="676.35252719999994"/>
    <m/>
    <n v="500.36283900000001"/>
    <n v="340.17771495599999"/>
    <m/>
    <n v="130.68000000000004"/>
    <n v="17.253890999999999"/>
    <m/>
    <n v="1647.96"/>
    <n v="7936.7898599999999"/>
    <n v="0"/>
    <n v="841.65321951219084"/>
  </r>
  <r>
    <x v="136"/>
    <x v="83"/>
    <s v="@00178039"/>
    <s v="Powell, Jamal D."/>
    <s v="G"/>
    <n v="8"/>
    <s v="M"/>
    <s v="M2"/>
    <s v="A"/>
    <n v="1"/>
    <n v="100"/>
    <n v="1"/>
    <x v="5"/>
    <s v="18F000"/>
    <x v="10"/>
    <s v="2110"/>
    <s v="711001"/>
    <m/>
    <m/>
    <n v="0.2"/>
    <n v="106694.69"/>
    <n v="21338.938000000002"/>
    <n v="10869.070788221103"/>
    <n v="32208.008788221105"/>
    <n v="44.64"/>
    <n v="17.16"/>
    <n v="3237.6000000000004"/>
    <n v="259.33438661710034"/>
    <m/>
    <n v="418.24318480000005"/>
    <m/>
    <n v="309.41460100000006"/>
    <n v="210.35925080400003"/>
    <m/>
    <n v="130.68000000000004"/>
    <n v="10.669469000000001"/>
    <m/>
    <n v="1323.0141560000002"/>
    <n v="4907.9557400000003"/>
    <n v="0"/>
    <n v="520.46190243902311"/>
  </r>
  <r>
    <x v="130"/>
    <x v="19"/>
    <s v="@00355529"/>
    <s v="Cisneros, Rafaela T."/>
    <s v="465"/>
    <n v="14"/>
    <s v="C"/>
    <s v="CA"/>
    <s v="A"/>
    <n v="1"/>
    <n v="100"/>
    <n v="1"/>
    <x v="6"/>
    <s v="18F000"/>
    <x v="10"/>
    <s v="2191"/>
    <s v="711001"/>
    <m/>
    <m/>
    <n v="0.8"/>
    <n v="80317.726800000004"/>
    <n v="64254.181440000008"/>
    <n v="36376.490925407932"/>
    <n v="100630.67236540794"/>
    <n v="178.56"/>
    <n v="68.64"/>
    <n v="12950.400000000001"/>
    <n v="1037.3375464684013"/>
    <m/>
    <n v="1259.3819562240001"/>
    <m/>
    <n v="931.68563088000019"/>
    <n v="633.41772063552014"/>
    <m/>
    <n v="522.72000000000014"/>
    <n v="32.127090720000005"/>
    <m/>
    <n v="3983.7592492800004"/>
    <n v="14778.461731200003"/>
    <n v="1567.1751570731649"/>
    <n v="0"/>
  </r>
  <r>
    <x v="131"/>
    <x v="9"/>
    <s v="@00486139"/>
    <s v="Crews, Kimberly A."/>
    <s v="445"/>
    <n v="14"/>
    <s v="C"/>
    <s v="CA"/>
    <s v="A"/>
    <n v="1"/>
    <n v="100"/>
    <n v="1"/>
    <x v="6"/>
    <s v="18F000"/>
    <x v="10"/>
    <s v="2191"/>
    <s v="711001"/>
    <m/>
    <m/>
    <n v="0.8"/>
    <n v="72763.838900000032"/>
    <n v="58211.07112000003"/>
    <n v="34343.238113361374"/>
    <n v="92554.309233361404"/>
    <n v="178.56"/>
    <n v="68.64"/>
    <n v="12950.400000000001"/>
    <n v="1037.3375464684013"/>
    <m/>
    <n v="1140.9369939520006"/>
    <m/>
    <n v="844.0605312400005"/>
    <n v="573.84473910096028"/>
    <m/>
    <n v="522.72000000000014"/>
    <n v="29.105535560000014"/>
    <m/>
    <n v="3609.0864094400017"/>
    <n v="13388.546357600007"/>
    <n v="1419.7822224390184"/>
    <n v="0"/>
  </r>
  <r>
    <x v="132"/>
    <x v="83"/>
    <s v="@00410497"/>
    <s v="DeRosa, Joseph J."/>
    <s v="G"/>
    <n v="12"/>
    <s v="M"/>
    <s v="M2"/>
    <s v="A"/>
    <n v="1"/>
    <n v="100"/>
    <n v="1"/>
    <x v="6"/>
    <s v="18F000"/>
    <x v="10"/>
    <s v="2110"/>
    <s v="711001"/>
    <m/>
    <m/>
    <n v="0.8"/>
    <n v="117770.98"/>
    <n v="94216.784"/>
    <n v="46457.648257540408"/>
    <n v="140674.43225754041"/>
    <n v="178.56"/>
    <n v="68.64"/>
    <n v="12950.400000000001"/>
    <n v="1037.3375464684013"/>
    <m/>
    <n v="1846.6489663999998"/>
    <m/>
    <n v="1366.143368"/>
    <n v="928.78905667200002"/>
    <m/>
    <n v="522.72000000000014"/>
    <n v="47.108392000000002"/>
    <m/>
    <n v="5841.4406079999999"/>
    <n v="21669.86032"/>
    <n v="0"/>
    <n v="2297.9703414634132"/>
  </r>
  <r>
    <x v="133"/>
    <x v="83"/>
    <s v="@00020504"/>
    <s v="Reed, Daniel W."/>
    <s v="G"/>
    <n v="12"/>
    <s v="M"/>
    <s v="M2"/>
    <s v="A"/>
    <n v="1"/>
    <n v="100"/>
    <n v="1"/>
    <x v="6"/>
    <s v="18F000"/>
    <x v="10"/>
    <s v="2110"/>
    <s v="713000"/>
    <m/>
    <m/>
    <n v="0.8"/>
    <n v="117770.98"/>
    <n v="94216.784"/>
    <n v="46457.648257540408"/>
    <n v="140674.43225754041"/>
    <n v="178.56"/>
    <n v="68.64"/>
    <n v="12950.400000000001"/>
    <n v="1037.3375464684013"/>
    <m/>
    <n v="1846.6489663999998"/>
    <m/>
    <n v="1366.143368"/>
    <n v="928.78905667200002"/>
    <m/>
    <n v="522.72000000000014"/>
    <n v="47.108392000000002"/>
    <m/>
    <n v="5841.4406079999999"/>
    <n v="21669.86032"/>
    <n v="0"/>
    <n v="2297.9703414634132"/>
  </r>
  <r>
    <x v="134"/>
    <x v="83"/>
    <s v="@00622576"/>
    <s v="Hernandez, Nicholas"/>
    <s v="G"/>
    <n v="12"/>
    <s v="M"/>
    <s v="M2"/>
    <s v="A"/>
    <n v="1"/>
    <n v="100"/>
    <n v="1"/>
    <x v="6"/>
    <s v="18F000"/>
    <x v="10"/>
    <s v="2110"/>
    <s v="711001"/>
    <m/>
    <m/>
    <n v="0.8"/>
    <n v="120715.25"/>
    <n v="96572.200000000012"/>
    <n v="47250.146814068416"/>
    <n v="143822.34681406844"/>
    <n v="178.56"/>
    <n v="68.64"/>
    <n v="12950.400000000001"/>
    <n v="1037.3375464684013"/>
    <m/>
    <n v="1892.8151200000002"/>
    <m/>
    <n v="1400.2969000000003"/>
    <n v="952.00874760000011"/>
    <m/>
    <n v="522.72000000000014"/>
    <n v="48.286100000000005"/>
    <m/>
    <n v="5987.4764000000005"/>
    <n v="22211.606000000003"/>
    <n v="0"/>
    <n v="2355.4195121951198"/>
  </r>
  <r>
    <x v="135"/>
    <x v="84"/>
    <s v="@00726504"/>
    <s v="Rowles, Randall L."/>
    <s v="L"/>
    <n v="12"/>
    <s v="M"/>
    <s v="M2"/>
    <s v="A"/>
    <n v="1"/>
    <n v="100"/>
    <n v="1"/>
    <x v="6"/>
    <s v="18F000"/>
    <x v="10"/>
    <s v="2110"/>
    <s v="711001"/>
    <m/>
    <m/>
    <n v="0.8"/>
    <n v="172538.91"/>
    <n v="138031.128"/>
    <n v="59233.244875092409"/>
    <n v="197264.37287509241"/>
    <n v="178.56"/>
    <n v="68.64"/>
    <n v="12950.400000000001"/>
    <n v="1037.3375464684013"/>
    <m/>
    <n v="2705.4101087999998"/>
    <m/>
    <n v="2001.451356"/>
    <n v="1360.710859824"/>
    <m/>
    <n v="522.72000000000014"/>
    <n v="69.015563999999998"/>
    <m/>
    <n v="6591.84"/>
    <n v="31747.159439999999"/>
    <n v="0"/>
    <n v="3366.6128780487634"/>
  </r>
  <r>
    <x v="136"/>
    <x v="83"/>
    <s v="@00178039"/>
    <s v="Powell, Jamal D."/>
    <s v="G"/>
    <n v="8"/>
    <s v="M"/>
    <s v="M2"/>
    <s v="A"/>
    <n v="1"/>
    <n v="100"/>
    <n v="1"/>
    <x v="6"/>
    <s v="18F000"/>
    <x v="10"/>
    <s v="2110"/>
    <s v="711001"/>
    <m/>
    <m/>
    <n v="0.8"/>
    <n v="106694.69"/>
    <n v="85355.752000000008"/>
    <n v="43476.283152884411"/>
    <n v="128832.03515288442"/>
    <n v="178.56"/>
    <n v="68.64"/>
    <n v="12950.400000000001"/>
    <n v="1037.3375464684013"/>
    <m/>
    <n v="1672.9727392000002"/>
    <m/>
    <n v="1237.6584040000002"/>
    <n v="841.43700321600011"/>
    <m/>
    <n v="522.72000000000014"/>
    <n v="42.677876000000005"/>
    <m/>
    <n v="5292.0566240000007"/>
    <n v="19631.822960000001"/>
    <n v="0"/>
    <n v="2081.8476097560924"/>
  </r>
  <r>
    <x v="2"/>
    <x v="2"/>
    <s v="@00064745"/>
    <s v="Beed, Anna B."/>
    <s v="425"/>
    <n v="4"/>
    <s v="C"/>
    <s v="CA"/>
    <s v="A"/>
    <n v="1"/>
    <n v="100"/>
    <n v="1"/>
    <x v="7"/>
    <s v="11BSW1"/>
    <x v="1"/>
    <s v="2191"/>
    <s v="684000"/>
    <m/>
    <m/>
    <n v="0.05"/>
    <n v="51496.939899999954"/>
    <n v="2574.8469949999981"/>
    <n v="1781.5024521484843"/>
    <n v="4356.3494471484828"/>
    <n v="11.16"/>
    <n v="4.29"/>
    <n v="809.40000000000009"/>
    <n v="64.833596654275084"/>
    <m/>
    <n v="50.467001101999962"/>
    <m/>
    <n v="37.335281427499972"/>
    <n v="25.382841676709983"/>
    <m/>
    <n v="25.490985250499982"/>
    <n v="1.287423497499999"/>
    <m/>
    <n v="159.64051368999989"/>
    <n v="592.2148088499996"/>
    <n v="62.801146219511793"/>
    <n v="0"/>
  </r>
  <r>
    <x v="3"/>
    <x v="3"/>
    <s v="@00412898"/>
    <s v="Teasdale, David G."/>
    <s v="J"/>
    <n v="12"/>
    <s v="M"/>
    <s v="M2"/>
    <s v="A"/>
    <n v="1"/>
    <n v="100"/>
    <n v="1"/>
    <x v="7"/>
    <s v="11BSW1"/>
    <x v="1"/>
    <s v="2110"/>
    <s v="684000"/>
    <m/>
    <m/>
    <n v="7.4999999999999997E-2"/>
    <n v="144210.15"/>
    <n v="10815.76125"/>
    <n v="4969.987596133913"/>
    <n v="15785.748846133913"/>
    <n v="16.739999999999998"/>
    <n v="6.4349999999999996"/>
    <n v="1214.0999999999999"/>
    <n v="97.250394981412626"/>
    <m/>
    <n v="211.98892049999998"/>
    <m/>
    <n v="156.82853812499999"/>
    <n v="106.62177440249999"/>
    <m/>
    <n v="49.005000000000003"/>
    <n v="5.4078806249999998"/>
    <m/>
    <n v="617.9849999999999"/>
    <n v="2487.6250875000001"/>
    <n v="0"/>
    <n v="263.79905487804717"/>
  </r>
  <r>
    <x v="2"/>
    <x v="2"/>
    <s v="@00064745"/>
    <s v="Beed, Anna B."/>
    <s v="425"/>
    <n v="4"/>
    <s v="C"/>
    <s v="CA"/>
    <s v="A"/>
    <n v="1"/>
    <n v="100"/>
    <n v="1"/>
    <x v="8"/>
    <s v="11BSW2"/>
    <x v="1"/>
    <s v="2191"/>
    <s v="684000"/>
    <m/>
    <m/>
    <n v="0.05"/>
    <n v="51496.939899999954"/>
    <n v="2574.8469949999981"/>
    <n v="1781.5024521484843"/>
    <n v="4356.3494471484828"/>
    <n v="11.16"/>
    <n v="4.29"/>
    <n v="809.40000000000009"/>
    <n v="64.833596654275084"/>
    <m/>
    <n v="50.467001101999962"/>
    <m/>
    <n v="37.335281427499972"/>
    <n v="25.382841676709983"/>
    <m/>
    <n v="25.490985250499982"/>
    <n v="1.287423497499999"/>
    <m/>
    <n v="159.64051368999989"/>
    <n v="592.2148088499996"/>
    <n v="62.801146219511793"/>
    <n v="0"/>
  </r>
  <r>
    <x v="3"/>
    <x v="3"/>
    <s v="@00412898"/>
    <s v="Teasdale, David G."/>
    <s v="J"/>
    <n v="12"/>
    <s v="M"/>
    <s v="M2"/>
    <s v="A"/>
    <n v="1"/>
    <n v="100"/>
    <n v="1"/>
    <x v="8"/>
    <s v="11BSW2"/>
    <x v="1"/>
    <s v="2110"/>
    <s v="684000"/>
    <m/>
    <m/>
    <n v="7.4999999999999997E-2"/>
    <n v="144210.15"/>
    <n v="10815.76125"/>
    <n v="4969.987596133913"/>
    <n v="15785.748846133913"/>
    <n v="16.739999999999998"/>
    <n v="6.4349999999999996"/>
    <n v="1214.0999999999999"/>
    <n v="97.250394981412626"/>
    <m/>
    <n v="211.98892049999998"/>
    <m/>
    <n v="156.82853812499999"/>
    <n v="106.62177440249999"/>
    <m/>
    <n v="49.005000000000003"/>
    <n v="5.4078806249999998"/>
    <m/>
    <n v="617.9849999999999"/>
    <n v="2487.6250875000001"/>
    <n v="0"/>
    <n v="263.79905487804717"/>
  </r>
  <r>
    <x v="137"/>
    <x v="26"/>
    <s v="@00740933"/>
    <s v="Levig, Kelly M."/>
    <s v="500"/>
    <n v="2"/>
    <s v="C"/>
    <s v="CA"/>
    <s v="A"/>
    <n v="1"/>
    <n v="100"/>
    <n v="1"/>
    <x v="9"/>
    <s v="512WR4"/>
    <x v="11"/>
    <s v="2191"/>
    <s v="684000"/>
    <s v="SWRL17"/>
    <m/>
    <n v="0.16500000000000001"/>
    <n v="70989.161099999998"/>
    <n v="11713.2115815"/>
    <n v="6984.7706112474361"/>
    <n v="18697.982192747437"/>
    <n v="36.828000000000003"/>
    <n v="14.157"/>
    <n v="2671.02"/>
    <n v="213.95086895910779"/>
    <m/>
    <n v="229.57894699739998"/>
    <m/>
    <n v="169.84156793175001"/>
    <n v="115.468839770427"/>
    <m/>
    <n v="107.81100000000002"/>
    <n v="5.8566057907499998"/>
    <m/>
    <n v="726.21911805299999"/>
    <n v="2694.0386637450001"/>
    <n v="285.68808735365747"/>
    <n v="0"/>
  </r>
  <r>
    <x v="137"/>
    <x v="26"/>
    <s v="@00740933"/>
    <s v="Levig, Kelly M."/>
    <s v="500"/>
    <n v="2"/>
    <s v="C"/>
    <s v="CA"/>
    <s v="A"/>
    <n v="1"/>
    <n v="100"/>
    <n v="1"/>
    <x v="9"/>
    <s v="21AWR4"/>
    <x v="12"/>
    <s v="2191"/>
    <s v="684000"/>
    <s v="SWRL17"/>
    <m/>
    <n v="0.34"/>
    <n v="70989.161099999998"/>
    <n v="24136.314774000002"/>
    <n v="14392.860653479564"/>
    <n v="38529.175427479568"/>
    <n v="75.888000000000005"/>
    <n v="29.172000000000001"/>
    <n v="5503.92"/>
    <n v="440.86845724907062"/>
    <m/>
    <n v="473.07176957040002"/>
    <m/>
    <n v="349.97656422300003"/>
    <n v="237.93579104209203"/>
    <m/>
    <n v="222.15600000000003"/>
    <n v="12.068157387000001"/>
    <m/>
    <n v="1496.4515159880002"/>
    <n v="5551.3523980200007"/>
    <n v="588.69060424390045"/>
    <n v="0"/>
  </r>
  <r>
    <x v="137"/>
    <x v="26"/>
    <s v="@00740933"/>
    <s v="Levig, Kelly M."/>
    <s v="500"/>
    <n v="2"/>
    <s v="C"/>
    <s v="CA"/>
    <s v="A"/>
    <n v="1"/>
    <n v="100"/>
    <n v="1"/>
    <x v="9"/>
    <s v="411WR4"/>
    <x v="13"/>
    <s v="2191"/>
    <s v="684000"/>
    <s v="SWRL17"/>
    <s v="CI"/>
    <n v="0.19469999999999998"/>
    <n v="70989.161099999998"/>
    <n v="13821.589666169999"/>
    <n v="8242.0293212719735"/>
    <n v="22063.618987441972"/>
    <n v="43.457039999999992"/>
    <n v="16.705259999999999"/>
    <n v="3151.8035999999997"/>
    <n v="252.46202537174716"/>
    <m/>
    <n v="270.90315745693198"/>
    <m/>
    <n v="200.413050159465"/>
    <n v="136.25323092910386"/>
    <m/>
    <n v="127.21698000000001"/>
    <n v="6.9107948330849993"/>
    <m/>
    <n v="856.93855930253994"/>
    <n v="3178.9656232191001"/>
    <m/>
    <m/>
  </r>
  <r>
    <x v="137"/>
    <x v="26"/>
    <s v="@00740933"/>
    <s v="Levig, Kelly M."/>
    <s v="500"/>
    <n v="2"/>
    <s v="C"/>
    <s v="CA"/>
    <s v="A"/>
    <n v="1"/>
    <n v="100"/>
    <n v="1"/>
    <x v="9"/>
    <s v="411WR3"/>
    <x v="13"/>
    <s v="2191"/>
    <s v="684000"/>
    <s v="SWRL17"/>
    <s v="CI"/>
    <n v="0.1353"/>
    <n v="70989.161099999998"/>
    <n v="9604.8334968300005"/>
    <n v="5727.511901222897"/>
    <n v="15332.345398052898"/>
    <n v="30.19896"/>
    <n v="11.608739999999999"/>
    <n v="2190.2364000000002"/>
    <n v="175.43971254646837"/>
    <m/>
    <n v="188.25473653786801"/>
    <m/>
    <n v="139.27008570403501"/>
    <n v="94.684448611750156"/>
    <m/>
    <n v="88.405020000000022"/>
    <n v="4.8024167484150002"/>
    <m/>
    <n v="595.49967680346003"/>
    <n v="2209.1117042709002"/>
    <m/>
    <m/>
  </r>
  <r>
    <x v="137"/>
    <x v="26"/>
    <s v="@00740933"/>
    <s v="Levig, Kelly M."/>
    <s v="500"/>
    <n v="2"/>
    <s v="C"/>
    <s v="CA"/>
    <s v="A"/>
    <n v="1"/>
    <n v="100"/>
    <n v="1"/>
    <x v="9"/>
    <s v="512WR3"/>
    <x v="11"/>
    <s v="2191"/>
    <s v="684000"/>
    <s v="SWRL17"/>
    <m/>
    <n v="0.16500000000000001"/>
    <n v="70989.161099999998"/>
    <n v="11713.2115815"/>
    <n v="6984.7706112474361"/>
    <n v="18697.982192747437"/>
    <n v="36.828000000000003"/>
    <n v="14.157"/>
    <n v="2671.02"/>
    <n v="213.95086895910779"/>
    <m/>
    <n v="229.57894699739998"/>
    <m/>
    <n v="169.84156793175001"/>
    <n v="115.468839770427"/>
    <m/>
    <n v="107.81100000000002"/>
    <n v="5.8566057907499998"/>
    <m/>
    <n v="726.21911805299999"/>
    <n v="2694.0386637450001"/>
    <m/>
    <m/>
  </r>
  <r>
    <x v="138"/>
    <x v="85"/>
    <s v="@00519365"/>
    <s v="Crosshabeyeh, Amani R."/>
    <s v="D"/>
    <n v="2"/>
    <s v="M"/>
    <s v="M2"/>
    <s v="A"/>
    <n v="1"/>
    <n v="100"/>
    <n v="1"/>
    <x v="9"/>
    <s v="411WR4"/>
    <x v="13"/>
    <s v="2110"/>
    <s v="684000"/>
    <s v="SWRL17"/>
    <s v="CI"/>
    <n v="0.19469999999999998"/>
    <n v="67973.53"/>
    <n v="13234.446290999998"/>
    <n v="8044.4802355490247"/>
    <n v="21278.926526549025"/>
    <n v="43.457039999999992"/>
    <n v="16.705259999999999"/>
    <n v="3151.8035999999997"/>
    <n v="252.46202537174716"/>
    <m/>
    <n v="259.39514730359997"/>
    <m/>
    <n v="191.89947121949999"/>
    <n v="130.46517153667799"/>
    <m/>
    <n v="127.21698000000001"/>
    <n v="6.6172231454999997"/>
    <m/>
    <n v="820.53567004199988"/>
    <n v="3043.9226469299997"/>
    <m/>
    <m/>
  </r>
  <r>
    <x v="138"/>
    <x v="85"/>
    <s v="@00519365"/>
    <s v="Crosshabeyeh, Amani R."/>
    <s v="D"/>
    <n v="2"/>
    <s v="M"/>
    <s v="M2"/>
    <s v="A"/>
    <n v="1"/>
    <n v="100"/>
    <n v="1"/>
    <x v="9"/>
    <s v="512WR4"/>
    <x v="11"/>
    <s v="2110"/>
    <s v="679000"/>
    <s v="SWRL17"/>
    <m/>
    <n v="0.16500000000000001"/>
    <n v="67973.53"/>
    <n v="11215.632450000001"/>
    <n v="6817.3561318212087"/>
    <n v="18032.98858182121"/>
    <n v="36.828000000000003"/>
    <n v="14.157"/>
    <n v="2671.02"/>
    <n v="213.95086895910779"/>
    <m/>
    <n v="219.82639602"/>
    <m/>
    <n v="162.62667052500001"/>
    <n v="110.56370469210002"/>
    <m/>
    <n v="107.81100000000002"/>
    <n v="5.6078162250000005"/>
    <m/>
    <n v="695.3692119000001"/>
    <n v="2579.5954635000003"/>
    <m/>
    <m/>
  </r>
  <r>
    <x v="138"/>
    <x v="85"/>
    <s v="@00519365"/>
    <s v="Crosshabeyeh, Amani R."/>
    <s v="D"/>
    <n v="2"/>
    <s v="M"/>
    <s v="M2"/>
    <s v="A"/>
    <n v="1"/>
    <n v="100"/>
    <n v="1"/>
    <x v="9"/>
    <s v="512WR3"/>
    <x v="11"/>
    <s v="2110"/>
    <s v="679000"/>
    <s v="SWRL17"/>
    <m/>
    <n v="0.16500000000000001"/>
    <n v="67973.53"/>
    <n v="11215.632450000001"/>
    <n v="6817.3561318212087"/>
    <n v="18032.98858182121"/>
    <n v="36.828000000000003"/>
    <n v="14.157"/>
    <n v="2671.02"/>
    <n v="213.95086895910779"/>
    <m/>
    <n v="219.82639602"/>
    <m/>
    <n v="162.62667052500001"/>
    <n v="110.56370469210002"/>
    <m/>
    <n v="107.81100000000002"/>
    <n v="5.6078162250000005"/>
    <m/>
    <n v="695.3692119000001"/>
    <n v="2579.5954635000003"/>
    <m/>
    <m/>
  </r>
  <r>
    <x v="138"/>
    <x v="85"/>
    <s v="@00519365"/>
    <s v="Crosshabeyeh, Amani R."/>
    <s v="D"/>
    <n v="2"/>
    <s v="M"/>
    <s v="M2"/>
    <s v="A"/>
    <n v="1"/>
    <n v="100"/>
    <n v="1"/>
    <x v="9"/>
    <s v="21AWR4"/>
    <x v="12"/>
    <s v="2110"/>
    <s v="684000"/>
    <s v="SWRL17"/>
    <m/>
    <n v="0.34"/>
    <n v="67973.53"/>
    <n v="23111.000200000002"/>
    <n v="14047.88536254067"/>
    <n v="37158.885562540672"/>
    <n v="75.888000000000005"/>
    <n v="29.172000000000001"/>
    <n v="5503.92"/>
    <n v="440.86845724907062"/>
    <m/>
    <n v="452.97560392000003"/>
    <m/>
    <n v="335.10950290000005"/>
    <n v="227.82823997160003"/>
    <m/>
    <n v="222.15600000000003"/>
    <n v="11.555500100000001"/>
    <m/>
    <n v="1432.8820124000001"/>
    <n v="5315.5300460000008"/>
    <n v="0"/>
    <n v="563.6829317073134"/>
  </r>
  <r>
    <x v="138"/>
    <x v="85"/>
    <s v="@00519365"/>
    <s v="Crosshabeyeh, Amani R."/>
    <s v="D"/>
    <n v="2"/>
    <s v="M"/>
    <s v="M2"/>
    <s v="A"/>
    <n v="1"/>
    <n v="100"/>
    <n v="1"/>
    <x v="9"/>
    <s v="411WR3"/>
    <x v="13"/>
    <s v="2110"/>
    <s v="684000"/>
    <s v="SWRL17"/>
    <s v="CI"/>
    <n v="0.1353"/>
    <n v="67973.53"/>
    <n v="9196.8186089999999"/>
    <n v="5590.2320280933909"/>
    <n v="14787.050637093391"/>
    <n v="30.19896"/>
    <n v="11.608739999999999"/>
    <n v="2190.2364000000002"/>
    <n v="175.43971254646837"/>
    <m/>
    <n v="180.25764473639998"/>
    <m/>
    <n v="133.3538698305"/>
    <n v="90.662237847522007"/>
    <m/>
    <n v="88.405020000000022"/>
    <n v="4.5984093044999996"/>
    <m/>
    <n v="570.20275375799997"/>
    <n v="2115.2682800699999"/>
    <n v="0"/>
    <n v="224.31264899999951"/>
  </r>
  <r>
    <x v="10"/>
    <x v="9"/>
    <s v="@00058294"/>
    <s v="Horton, Genevieve T."/>
    <s v="445"/>
    <n v="6"/>
    <s v="C"/>
    <s v="CA"/>
    <s v="A"/>
    <n v="1"/>
    <n v="100"/>
    <n v="1"/>
    <x v="10"/>
    <s v="11BAE5"/>
    <x v="1"/>
    <s v="2191"/>
    <s v="684000"/>
    <s v="AEPLSC"/>
    <m/>
    <n v="0.1666"/>
    <n v="59720.639999999999"/>
    <n v="9949.458623999999"/>
    <n v="6410.5003341434358"/>
    <n v="16359.958958143434"/>
    <n v="37.185119999999998"/>
    <n v="14.294279999999999"/>
    <n v="2696.9207999999999"/>
    <n v="216.02554405204458"/>
    <m/>
    <n v="195.00938903039997"/>
    <m/>
    <n v="144.26715004799999"/>
    <n v="98.081763115391993"/>
    <m/>
    <n v="98.499640377600002"/>
    <n v="4.974729312"/>
    <m/>
    <n v="616.86643468799991"/>
    <n v="2288.3754835199998"/>
    <n v="242.66972253658423"/>
    <n v="0"/>
  </r>
  <r>
    <x v="10"/>
    <x v="9"/>
    <s v="@00058294"/>
    <s v="Horton, Genevieve T."/>
    <s v="445"/>
    <n v="6"/>
    <s v="C"/>
    <s v="CA"/>
    <s v="A"/>
    <n v="1"/>
    <n v="100"/>
    <n v="1"/>
    <x v="10"/>
    <s v="11BAE5"/>
    <x v="1"/>
    <s v="2191"/>
    <s v="684000"/>
    <s v="AEPLCV"/>
    <m/>
    <n v="0.16670000000000001"/>
    <n v="59720.639999999999"/>
    <n v="9955.4306880000004"/>
    <n v="6414.3481734796587"/>
    <n v="16369.778861479659"/>
    <n v="37.207439999999998"/>
    <n v="14.302860000000001"/>
    <n v="2698.5396000000001"/>
    <n v="216.15521124535314"/>
    <m/>
    <n v="195.12644148480001"/>
    <m/>
    <n v="144.353744976"/>
    <n v="98.140635722304012"/>
    <m/>
    <n v="98.558763811200009"/>
    <n v="4.9777153439999999"/>
    <m/>
    <n v="617.23670265600003"/>
    <n v="2289.7490582400001"/>
    <n v="242.81538263414586"/>
    <n v="0"/>
  </r>
  <r>
    <x v="10"/>
    <x v="9"/>
    <s v="@00058294"/>
    <s v="Horton, Genevieve T."/>
    <s v="445"/>
    <n v="6"/>
    <s v="C"/>
    <s v="CA"/>
    <s v="A"/>
    <n v="1"/>
    <n v="100"/>
    <n v="1"/>
    <x v="10"/>
    <s v="11BAE5"/>
    <x v="1"/>
    <s v="2191"/>
    <s v="684000"/>
    <s v="AEPLAB"/>
    <m/>
    <n v="0.16670000000000001"/>
    <n v="59720.639999999999"/>
    <n v="9955.4306880000004"/>
    <n v="6414.3481734796587"/>
    <n v="16369.778861479659"/>
    <n v="37.207439999999998"/>
    <n v="14.302860000000001"/>
    <n v="2698.5396000000001"/>
    <n v="216.15521124535314"/>
    <m/>
    <n v="195.12644148480001"/>
    <m/>
    <n v="144.353744976"/>
    <n v="98.140635722304012"/>
    <m/>
    <n v="98.558763811200009"/>
    <n v="4.9777153439999999"/>
    <m/>
    <n v="617.23670265600003"/>
    <n v="2289.7490582400001"/>
    <n v="242.81538263414586"/>
    <n v="0"/>
  </r>
  <r>
    <x v="139"/>
    <x v="86"/>
    <m/>
    <m/>
    <m/>
    <m/>
    <s v="C"/>
    <s v="CC"/>
    <s v="A"/>
    <n v="0.47499999999999998"/>
    <m/>
    <m/>
    <x v="10"/>
    <s v="11BAE5"/>
    <x v="1"/>
    <s v="2191"/>
    <s v="684000"/>
    <m/>
    <m/>
    <n v="1"/>
    <n v="16075.652999999998"/>
    <n v="16075.652999999998"/>
    <n v="994.40774327399993"/>
    <n v="17070.060743274"/>
    <m/>
    <m/>
    <m/>
    <m/>
    <m/>
    <m/>
    <n v="594.79916099999991"/>
    <n v="233.0969685"/>
    <n v="158.47378727399999"/>
    <m/>
    <m/>
    <n v="8.0378264999999995"/>
    <m/>
    <m/>
    <m/>
    <n v="392.08909756097455"/>
    <n v="0"/>
  </r>
  <r>
    <x v="88"/>
    <x v="48"/>
    <s v="@00709065"/>
    <s v="Gerald, Gertrude G."/>
    <s v="L"/>
    <n v="9"/>
    <s v="M"/>
    <s v="M1"/>
    <s v="A"/>
    <n v="1"/>
    <n v="100"/>
    <n v="1"/>
    <x v="10"/>
    <s v="11BWD1"/>
    <x v="1"/>
    <s v="1214"/>
    <s v="679000"/>
    <m/>
    <m/>
    <n v="0.5"/>
    <n v="164225.01"/>
    <n v="82112.505000000005"/>
    <n v="35879.869863832755"/>
    <n v="117992.37486383275"/>
    <n v="111.6"/>
    <n v="42.9"/>
    <n v="8094"/>
    <n v="648.33596654275084"/>
    <m/>
    <n v="1609.405098"/>
    <m/>
    <n v="1190.6313225000001"/>
    <n v="809.46507429000008"/>
    <m/>
    <n v="326.70000000000005"/>
    <n v="41.056252500000006"/>
    <m/>
    <n v="4119.8999999999996"/>
    <n v="18885.876150000004"/>
    <n v="0"/>
    <n v="2002.7440243902383"/>
  </r>
  <r>
    <x v="140"/>
    <x v="87"/>
    <s v="@00691290"/>
    <s v="Weldon, Thatcher G."/>
    <s v="G"/>
    <n v="3"/>
    <s v="M"/>
    <s v="M2"/>
    <s v="A"/>
    <n v="1"/>
    <n v="100"/>
    <n v="1"/>
    <x v="10"/>
    <s v="11BAE5"/>
    <x v="1"/>
    <s v="2110"/>
    <s v="684000"/>
    <s v="AEPLCV"/>
    <m/>
    <n v="0.33329999999999999"/>
    <n v="89625.84"/>
    <n v="29872.292471999997"/>
    <n v="16199.180855841574"/>
    <n v="46071.473327841573"/>
    <n v="74.392559999999989"/>
    <n v="28.597139999999996"/>
    <n v="5395.4603999999999"/>
    <n v="432.1807552973977"/>
    <m/>
    <n v="585.49693245119988"/>
    <m/>
    <n v="433.14824084399999"/>
    <n v="294.48105918897596"/>
    <m/>
    <n v="217.77822000000003"/>
    <n v="14.936146235999999"/>
    <m/>
    <n v="1852.0821332639998"/>
    <n v="6870.6272685599997"/>
    <n v="0"/>
    <n v="728.59249931707018"/>
  </r>
  <r>
    <x v="140"/>
    <x v="87"/>
    <s v="@00691290"/>
    <s v="Weldon, Thatcher G."/>
    <s v="G"/>
    <n v="3"/>
    <s v="M"/>
    <s v="M2"/>
    <s v="A"/>
    <n v="1"/>
    <n v="100"/>
    <n v="1"/>
    <x v="10"/>
    <s v="11BAE5"/>
    <x v="1"/>
    <s v="2110"/>
    <s v="684000"/>
    <s v="AEPLSC"/>
    <m/>
    <n v="0.33340000000000003"/>
    <n v="89625.84"/>
    <n v="29881.255056000002"/>
    <n v="16204.041096122355"/>
    <n v="46085.296152122355"/>
    <n v="74.414879999999997"/>
    <n v="28.605720000000002"/>
    <n v="5397.0792000000001"/>
    <n v="432.31042249070629"/>
    <m/>
    <n v="585.67259909760003"/>
    <m/>
    <n v="433.27819831200003"/>
    <n v="294.56941234204805"/>
    <m/>
    <n v="217.84356000000005"/>
    <n v="14.940627528000002"/>
    <m/>
    <n v="1852.6378134720001"/>
    <n v="6872.6886628800003"/>
    <n v="0"/>
    <n v="728.81109892682798"/>
  </r>
  <r>
    <x v="140"/>
    <x v="87"/>
    <s v="@00691290"/>
    <s v="Weldon, Thatcher G."/>
    <s v="G"/>
    <n v="3"/>
    <s v="M"/>
    <s v="M2"/>
    <s v="A"/>
    <n v="1"/>
    <n v="100"/>
    <n v="1"/>
    <x v="10"/>
    <s v="11BAE5"/>
    <x v="1"/>
    <s v="2110"/>
    <s v="684000"/>
    <s v="AEPLAB"/>
    <m/>
    <n v="0.33329999999999999"/>
    <n v="89625.84"/>
    <n v="29872.292471999997"/>
    <n v="16199.180855841574"/>
    <n v="46071.473327841573"/>
    <n v="74.392559999999989"/>
    <n v="28.597139999999996"/>
    <n v="5395.4603999999999"/>
    <n v="432.1807552973977"/>
    <m/>
    <n v="585.49693245119988"/>
    <m/>
    <n v="433.14824084399999"/>
    <n v="294.48105918897596"/>
    <m/>
    <n v="217.77822000000003"/>
    <n v="14.936146235999999"/>
    <m/>
    <n v="1852.0821332639998"/>
    <n v="6870.6272685599997"/>
    <n v="0"/>
    <n v="728.59249931707018"/>
  </r>
  <r>
    <x v="110"/>
    <x v="70"/>
    <s v="@00006798"/>
    <s v="Steele, Bonita"/>
    <s v="I"/>
    <n v="10"/>
    <s v="M"/>
    <s v="M2"/>
    <s v="A"/>
    <n v="1"/>
    <n v="100"/>
    <n v="1"/>
    <x v="11"/>
    <s v="11BA01"/>
    <x v="1"/>
    <s v="2110"/>
    <s v="684000"/>
    <m/>
    <m/>
    <n v="0"/>
    <n v="128263.71"/>
    <n v="0"/>
    <n v="0"/>
    <n v="0"/>
    <n v="0"/>
    <n v="0"/>
    <n v="0"/>
    <n v="0"/>
    <m/>
    <n v="0"/>
    <m/>
    <n v="0"/>
    <n v="0"/>
    <m/>
    <n v="0"/>
    <n v="0"/>
    <m/>
    <n v="0"/>
    <n v="0"/>
    <n v="0"/>
    <n v="0"/>
  </r>
  <r>
    <x v="141"/>
    <x v="88"/>
    <m/>
    <m/>
    <m/>
    <m/>
    <s v="M"/>
    <s v="M2"/>
    <s v="A"/>
    <n v="1"/>
    <m/>
    <m/>
    <x v="12"/>
    <s v="11BA02"/>
    <x v="1"/>
    <s v="2110"/>
    <s v="684000"/>
    <m/>
    <m/>
    <n v="1"/>
    <m/>
    <n v="0"/>
    <n v="0"/>
    <n v="0"/>
    <m/>
    <m/>
    <m/>
    <m/>
    <m/>
    <n v="0"/>
    <m/>
    <n v="0"/>
    <n v="0"/>
    <m/>
    <n v="0"/>
    <n v="0"/>
    <m/>
    <n v="0"/>
    <n v="0"/>
    <n v="0"/>
    <n v="0"/>
  </r>
  <r>
    <x v="142"/>
    <x v="89"/>
    <m/>
    <s v="New Position ??"/>
    <m/>
    <m/>
    <m/>
    <s v="CA"/>
    <s v="A"/>
    <n v="1"/>
    <n v="100"/>
    <m/>
    <x v="13"/>
    <s v="20SIA1"/>
    <x v="14"/>
    <s v="2191"/>
    <s v="679000"/>
    <m/>
    <m/>
    <n v="1"/>
    <n v="78358.670300000042"/>
    <n v="78358.670300000042"/>
    <n v="44811.473424882912"/>
    <n v="123170.14372488295"/>
    <n v="223.2"/>
    <n v="85.8"/>
    <n v="16188"/>
    <n v="1296.6719330855017"/>
    <m/>
    <n v="1535.8299378800007"/>
    <m/>
    <n v="1136.2007193500006"/>
    <n v="772.45977181740045"/>
    <m/>
    <n v="653.40000000000009"/>
    <n v="39.179335150000021"/>
    <m/>
    <n v="4858.2375586000026"/>
    <n v="18022.494169000009"/>
    <n v="0"/>
    <n v="0"/>
  </r>
  <r>
    <x v="143"/>
    <x v="90"/>
    <m/>
    <m/>
    <m/>
    <m/>
    <m/>
    <m/>
    <m/>
    <m/>
    <m/>
    <m/>
    <x v="14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x v="143"/>
    <x v="90"/>
    <m/>
    <m/>
    <m/>
    <m/>
    <m/>
    <m/>
    <m/>
    <m/>
    <m/>
    <m/>
    <x v="14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x v="143"/>
    <x v="90"/>
    <m/>
    <m/>
    <m/>
    <m/>
    <m/>
    <m/>
    <m/>
    <m/>
    <m/>
    <m/>
    <x v="14"/>
    <m/>
    <x v="15"/>
    <m/>
    <m/>
    <m/>
    <m/>
    <m/>
    <m/>
    <m/>
    <m/>
    <m/>
    <m/>
    <m/>
    <m/>
    <m/>
    <m/>
    <m/>
    <m/>
    <m/>
    <m/>
    <m/>
    <m/>
    <m/>
    <m/>
    <m/>
    <m/>
    <m/>
    <m/>
  </r>
  <r>
    <x v="144"/>
    <x v="36"/>
    <m/>
    <m/>
    <m/>
    <m/>
    <s v="C"/>
    <s v="CA"/>
    <s v="A"/>
    <n v="1"/>
    <m/>
    <m/>
    <x v="4"/>
    <s v="132EA0"/>
    <x v="4"/>
    <s v="2191"/>
    <s v="678000"/>
    <m/>
    <m/>
    <n v="1"/>
    <n v="0"/>
    <n v="0"/>
    <n v="17793.671933085501"/>
    <n v="17793.671933085501"/>
    <n v="223.2"/>
    <n v="85.8"/>
    <n v="16188"/>
    <n v="1296.6719330855017"/>
    <m/>
    <n v="0"/>
    <m/>
    <n v="0"/>
    <n v="0"/>
    <m/>
    <n v="0"/>
    <n v="0"/>
    <m/>
    <n v="0"/>
    <n v="0"/>
    <n v="0"/>
    <n v="0"/>
  </r>
  <r>
    <x v="145"/>
    <x v="7"/>
    <m/>
    <m/>
    <m/>
    <m/>
    <s v="C"/>
    <s v="CA"/>
    <s v="A"/>
    <n v="1"/>
    <m/>
    <m/>
    <x v="4"/>
    <s v="140HR0"/>
    <x v="3"/>
    <s v="2191"/>
    <s v="673000"/>
    <m/>
    <m/>
    <n v="1"/>
    <n v="54104.04"/>
    <n v="54104.04"/>
    <n v="36533.0390194055"/>
    <n v="90637.079019405501"/>
    <n v="223.2"/>
    <n v="85.8"/>
    <n v="16188"/>
    <n v="1296.6719330855017"/>
    <m/>
    <n v="1060.4391840000001"/>
    <m/>
    <n v="784.50858000000005"/>
    <n v="533.35762632000001"/>
    <m/>
    <n v="535.62999600000001"/>
    <n v="27.052020000000002"/>
    <m/>
    <n v="3354.45048"/>
    <n v="12443.9292"/>
    <n v="1319.6107317073111"/>
    <n v="0"/>
  </r>
  <r>
    <x v="146"/>
    <x v="91"/>
    <m/>
    <m/>
    <s v="380"/>
    <n v="1"/>
    <s v="C"/>
    <s v="CK"/>
    <s v="A"/>
    <n v="0"/>
    <n v="100"/>
    <n v="0"/>
    <x v="4"/>
    <s v="130IT0"/>
    <x v="16"/>
    <s v="2399"/>
    <s v="678000"/>
    <s v="DTL001"/>
    <m/>
    <n v="0"/>
    <m/>
    <n v="0"/>
    <n v="0"/>
    <n v="0"/>
    <m/>
    <m/>
    <m/>
    <n v="0"/>
    <m/>
    <n v="0"/>
    <m/>
    <n v="0"/>
    <n v="0"/>
    <m/>
    <n v="0"/>
    <n v="0"/>
    <m/>
    <n v="0"/>
    <n v="0"/>
    <n v="0"/>
    <n v="0"/>
  </r>
  <r>
    <x v="147"/>
    <x v="92"/>
    <m/>
    <m/>
    <m/>
    <m/>
    <s v="C"/>
    <s v="CK"/>
    <s v="A"/>
    <n v="0"/>
    <m/>
    <m/>
    <x v="4"/>
    <s v="140HR0"/>
    <x v="17"/>
    <s v="2399"/>
    <s v="673000"/>
    <m/>
    <m/>
    <n v="0"/>
    <m/>
    <n v="0"/>
    <n v="0"/>
    <n v="0"/>
    <m/>
    <m/>
    <m/>
    <n v="0"/>
    <m/>
    <n v="0"/>
    <m/>
    <n v="0"/>
    <n v="0"/>
    <m/>
    <n v="0"/>
    <n v="0"/>
    <m/>
    <n v="0"/>
    <n v="0"/>
    <n v="0"/>
    <n v="0"/>
  </r>
  <r>
    <x v="148"/>
    <x v="77"/>
    <s v="@00376520"/>
    <s v="Caballero, Judy M."/>
    <s v="435"/>
    <n v="1"/>
    <s v="C"/>
    <s v="CK"/>
    <s v="A"/>
    <n v="0"/>
    <n v="100"/>
    <n v="0"/>
    <x v="4"/>
    <s v="145HR3"/>
    <x v="17"/>
    <s v="2399"/>
    <s v="673000"/>
    <m/>
    <m/>
    <n v="0"/>
    <m/>
    <n v="0"/>
    <n v="0"/>
    <n v="0"/>
    <m/>
    <m/>
    <m/>
    <n v="0"/>
    <m/>
    <n v="0"/>
    <m/>
    <n v="0"/>
    <n v="0"/>
    <m/>
    <n v="0"/>
    <n v="0"/>
    <m/>
    <n v="0"/>
    <n v="0"/>
    <n v="0"/>
    <n v="0"/>
  </r>
  <r>
    <x v="149"/>
    <x v="93"/>
    <m/>
    <m/>
    <m/>
    <m/>
    <s v="M"/>
    <s v="M2"/>
    <s v="A"/>
    <n v="0"/>
    <m/>
    <m/>
    <x v="15"/>
    <s v="11BBC6"/>
    <x v="18"/>
    <s v="2110"/>
    <s v="684000"/>
    <m/>
    <m/>
    <n v="0"/>
    <m/>
    <n v="0"/>
    <n v="0"/>
    <n v="0"/>
    <m/>
    <m/>
    <m/>
    <n v="0"/>
    <m/>
    <n v="0"/>
    <m/>
    <n v="0"/>
    <n v="0"/>
    <m/>
    <n v="0"/>
    <n v="0"/>
    <m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7A5291-586F-4B6D-B338-F380FE451E32}" name="PivotTable1" cacheId="736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N6" firstHeaderRow="1" firstDataRow="2" firstDataCol="1"/>
  <pivotFields count="41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7">
        <item h="1" x="0"/>
        <item h="1" x="1"/>
        <item h="1" x="2"/>
        <item h="1" x="3"/>
        <item x="4"/>
        <item h="1" x="5"/>
        <item h="1" x="6"/>
        <item h="1" x="7"/>
        <item h="1" x="8"/>
        <item h="1" x="15"/>
        <item h="1" x="9"/>
        <item h="1" x="10"/>
        <item h="1" x="11"/>
        <item h="1" x="12"/>
        <item h="1" x="13"/>
        <item h="1" x="14"/>
        <item t="default"/>
      </items>
    </pivotField>
    <pivotField compact="0" outline="0" showAll="0"/>
    <pivotField axis="axisCol" compact="0" outline="0" showAll="0">
      <items count="20">
        <item x="18"/>
        <item x="16"/>
        <item x="17"/>
        <item x="5"/>
        <item x="1"/>
        <item x="0"/>
        <item x="4"/>
        <item x="3"/>
        <item x="6"/>
        <item x="9"/>
        <item x="10"/>
        <item x="14"/>
        <item x="12"/>
        <item x="13"/>
        <item x="11"/>
        <item x="2"/>
        <item x="7"/>
        <item x="8"/>
        <item x="1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2"/>
  </rowFields>
  <rowItems count="2">
    <i>
      <x v="4"/>
    </i>
    <i t="grand">
      <x/>
    </i>
  </rowItems>
  <colFields count="1">
    <field x="14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5"/>
    </i>
    <i>
      <x v="16"/>
    </i>
    <i>
      <x v="17"/>
    </i>
    <i t="grand">
      <x/>
    </i>
  </colItems>
  <dataFields count="1">
    <dataField name="Sum of Total Compensation by FOAPAL" fld="2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66EFA3-64BE-4158-A597-1EA27A7B35F4}" name="PivotTable3" cacheId="73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J5" firstHeaderRow="1" firstDataRow="2" firstDataCol="1"/>
  <pivotFields count="19">
    <pivotField compact="0" outline="0" showAll="0"/>
    <pivotField axis="axisCol" compact="0" outline="0" showAll="0">
      <items count="9">
        <item x="2"/>
        <item x="0"/>
        <item x="1"/>
        <item x="3"/>
        <item x="4"/>
        <item x="7"/>
        <item x="5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</pivotFields>
  <rowItems count="1">
    <i/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2022 3% Reduction" fld="16" baseField="0" baseItem="0" numFmtId="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9C9443-F40F-48FE-A939-3E8A63DAA6F5}" name="PivotTable4" cacheId="73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J90" firstHeaderRow="1" firstDataRow="2" firstDataCol="1"/>
  <pivotFields count="19">
    <pivotField compact="0" outline="0" showAll="0"/>
    <pivotField axis="axisCol" compact="0" outline="0" showAll="0">
      <items count="9">
        <item x="2"/>
        <item x="0"/>
        <item x="1"/>
        <item x="3"/>
        <item x="4"/>
        <item x="7"/>
        <item x="5"/>
        <item x="6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89">
        <item x="17"/>
        <item x="24"/>
        <item x="25"/>
        <item x="52"/>
        <item x="10"/>
        <item x="26"/>
        <item x="0"/>
        <item x="11"/>
        <item x="63"/>
        <item x="1"/>
        <item x="47"/>
        <item x="48"/>
        <item x="77"/>
        <item x="86"/>
        <item x="2"/>
        <item x="20"/>
        <item x="12"/>
        <item x="3"/>
        <item x="27"/>
        <item x="4"/>
        <item x="5"/>
        <item x="6"/>
        <item x="69"/>
        <item x="55"/>
        <item x="56"/>
        <item x="49"/>
        <item x="18"/>
        <item x="78"/>
        <item x="79"/>
        <item x="70"/>
        <item x="75"/>
        <item x="80"/>
        <item x="66"/>
        <item x="21"/>
        <item x="81"/>
        <item x="65"/>
        <item x="82"/>
        <item x="7"/>
        <item x="71"/>
        <item x="64"/>
        <item x="13"/>
        <item x="83"/>
        <item x="28"/>
        <item x="50"/>
        <item x="61"/>
        <item x="29"/>
        <item x="51"/>
        <item x="30"/>
        <item x="57"/>
        <item x="87"/>
        <item x="31"/>
        <item x="54"/>
        <item x="32"/>
        <item x="14"/>
        <item x="72"/>
        <item x="73"/>
        <item x="19"/>
        <item x="33"/>
        <item x="34"/>
        <item x="35"/>
        <item x="36"/>
        <item x="37"/>
        <item x="15"/>
        <item x="74"/>
        <item x="62"/>
        <item x="38"/>
        <item x="39"/>
        <item x="40"/>
        <item x="41"/>
        <item x="53"/>
        <item x="84"/>
        <item x="67"/>
        <item x="22"/>
        <item x="8"/>
        <item x="16"/>
        <item x="85"/>
        <item x="23"/>
        <item x="42"/>
        <item x="43"/>
        <item x="44"/>
        <item x="68"/>
        <item x="58"/>
        <item x="59"/>
        <item x="9"/>
        <item h="1" x="45"/>
        <item x="60"/>
        <item h="1" x="46"/>
        <item h="1" x="7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5"/>
  </rowFields>
  <rowItems count="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5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2021 Adopted Budget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6DA1F3-C239-4511-B258-18BD988AE2A9}" name="PivotTable3" cacheId="7359" dataOnRows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L6" firstHeaderRow="1" firstDataRow="2" firstDataCol="1" rowPageCount="1" colPageCount="1"/>
  <pivotFields count="3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axis="axisPage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Col" showAll="0">
      <items count="16">
        <item x="5"/>
        <item x="1"/>
        <item x="0"/>
        <item x="4"/>
        <item x="3"/>
        <item x="6"/>
        <item x="9"/>
        <item x="10"/>
        <item x="14"/>
        <item x="12"/>
        <item x="13"/>
        <item x="11"/>
        <item x="2"/>
        <item x="7"/>
        <item x="8"/>
        <item t="default"/>
      </items>
    </pivotField>
    <pivotField showAll="0"/>
    <pivotField showAll="0"/>
    <pivotField showAll="0"/>
    <pivotField showAll="0"/>
    <pivotField numFmtId="164" showAll="0"/>
    <pivotField showAll="0"/>
    <pivotField showAll="0"/>
    <pivotField numFmtId="4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numFmtId="40" showAll="0"/>
    <pivotField numFmtId="40" showAll="0"/>
    <pivotField showAll="0"/>
    <pivotField showAll="0"/>
    <pivotField numFmtId="40" showAll="0"/>
    <pivotField dataField="1" showAll="0"/>
    <pivotField showAll="0"/>
    <pivotField dataField="1" showAll="0"/>
  </pivotFields>
  <rowFields count="1">
    <field x="-2"/>
  </rowFields>
  <rowItems count="2">
    <i>
      <x/>
    </i>
    <i i="1">
      <x v="1"/>
    </i>
  </rowItems>
  <colFields count="1">
    <field x="14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12"/>
    </i>
    <i>
      <x v="13"/>
    </i>
    <i>
      <x v="14"/>
    </i>
    <i t="grand">
      <x/>
    </i>
  </colItems>
  <pageFields count="1">
    <pageField fld="12" item="4" hier="-1"/>
  </pageFields>
  <dataFields count="2">
    <dataField name="Sum of STRS - 930" fld="36" baseField="0" baseItem="0"/>
    <dataField name="Sum of PERS - 999" fld="38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3896DB-AC03-4594-B86B-4B72E804460E}" name="PivotTable1" cacheId="735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3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axis="axisRow" showAll="0">
      <items count="15">
        <item h="1" x="11"/>
        <item h="1" x="1"/>
        <item h="1" x="7"/>
        <item h="1" x="5"/>
        <item x="0"/>
        <item h="1" x="12"/>
        <item h="1" x="13"/>
        <item h="1" x="8"/>
        <item h="1" x="9"/>
        <item h="1" x="6"/>
        <item h="1" x="10"/>
        <item h="1" x="4"/>
        <item h="1" x="2"/>
        <item h="1" x="3"/>
        <item t="default"/>
      </items>
    </pivotField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numFmtId="164" showAll="0"/>
    <pivotField showAll="0"/>
    <pivotField numFmtId="164" showAll="0"/>
    <pivotField numFmtId="44" showAll="0"/>
    <pivotField numFmtId="164" showAll="0"/>
    <pivotField showAll="0"/>
    <pivotField showAll="0"/>
    <pivotField dataField="1" showAll="0"/>
    <pivotField showAll="0"/>
    <pivotField showAll="0"/>
    <pivotField showAll="0"/>
    <pivotField showAll="0"/>
    <pivotField numFmtId="40" showAll="0"/>
    <pivotField numFmtId="40" showAll="0"/>
    <pivotField showAll="0"/>
    <pivotField showAll="0"/>
    <pivotField numFmtId="40" showAll="0"/>
    <pivotField showAll="0"/>
    <pivotField showAll="0"/>
    <pivotField showAll="0"/>
  </pivotFields>
  <rowFields count="2">
    <field x="12"/>
    <field x="14"/>
  </rowFields>
  <rowItems count="12"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t="grand">
      <x/>
    </i>
  </rowItems>
  <colItems count="1">
    <i/>
  </colItems>
  <dataFields count="1">
    <dataField name="Sum of Health - 331" fld="26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R71"/>
  <sheetViews>
    <sheetView tabSelected="1" topLeftCell="C1" zoomScale="90" zoomScaleNormal="90" workbookViewId="0">
      <pane ySplit="5" topLeftCell="A6" activePane="bottomLeft" state="frozen"/>
      <selection pane="bottomLeft" activeCell="F7" sqref="F7"/>
    </sheetView>
  </sheetViews>
  <sheetFormatPr defaultRowHeight="12.75"/>
  <cols>
    <col min="1" max="1" width="76.5703125" customWidth="1"/>
    <col min="2" max="2" width="14.5703125" customWidth="1"/>
    <col min="3" max="3" width="15.28515625" customWidth="1"/>
    <col min="4" max="4" width="14.140625" customWidth="1"/>
    <col min="5" max="5" width="12.85546875" bestFit="1" customWidth="1"/>
    <col min="6" max="6" width="13.5703125" bestFit="1" customWidth="1"/>
    <col min="7" max="7" width="13.28515625" customWidth="1"/>
    <col min="8" max="8" width="11.85546875" bestFit="1" customWidth="1"/>
    <col min="9" max="9" width="14.7109375" customWidth="1"/>
    <col min="10" max="10" width="17" bestFit="1" customWidth="1"/>
    <col min="11" max="12" width="12.7109375" hidden="1" customWidth="1"/>
    <col min="13" max="13" width="18.28515625" hidden="1" customWidth="1"/>
    <col min="14" max="14" width="17" bestFit="1" customWidth="1"/>
    <col min="15" max="15" width="16.85546875" customWidth="1"/>
    <col min="18" max="18" width="14.140625" bestFit="1" customWidth="1"/>
    <col min="255" max="255" width="82" bestFit="1" customWidth="1"/>
    <col min="256" max="256" width="14.5703125" customWidth="1"/>
    <col min="257" max="257" width="15.28515625" customWidth="1"/>
    <col min="258" max="258" width="14.140625" customWidth="1"/>
    <col min="259" max="259" width="12.42578125" bestFit="1" customWidth="1"/>
    <col min="260" max="260" width="11.7109375" bestFit="1" customWidth="1"/>
    <col min="261" max="261" width="13.28515625" customWidth="1"/>
    <col min="262" max="262" width="11.85546875" bestFit="1" customWidth="1"/>
    <col min="263" max="263" width="12.28515625" bestFit="1" customWidth="1"/>
    <col min="264" max="264" width="15.140625" customWidth="1"/>
    <col min="265" max="265" width="14.7109375" customWidth="1"/>
    <col min="266" max="266" width="12.85546875" bestFit="1" customWidth="1"/>
    <col min="267" max="269" width="0" hidden="1" customWidth="1"/>
    <col min="270" max="270" width="15.85546875" bestFit="1" customWidth="1"/>
    <col min="271" max="271" width="16.140625" customWidth="1"/>
    <col min="511" max="511" width="82" bestFit="1" customWidth="1"/>
    <col min="512" max="512" width="14.5703125" customWidth="1"/>
    <col min="513" max="513" width="15.28515625" customWidth="1"/>
    <col min="514" max="514" width="14.140625" customWidth="1"/>
    <col min="515" max="515" width="12.42578125" bestFit="1" customWidth="1"/>
    <col min="516" max="516" width="11.7109375" bestFit="1" customWidth="1"/>
    <col min="517" max="517" width="13.28515625" customWidth="1"/>
    <col min="518" max="518" width="11.85546875" bestFit="1" customWidth="1"/>
    <col min="519" max="519" width="12.28515625" bestFit="1" customWidth="1"/>
    <col min="520" max="520" width="15.140625" customWidth="1"/>
    <col min="521" max="521" width="14.7109375" customWidth="1"/>
    <col min="522" max="522" width="12.85546875" bestFit="1" customWidth="1"/>
    <col min="523" max="525" width="0" hidden="1" customWidth="1"/>
    <col min="526" max="526" width="15.85546875" bestFit="1" customWidth="1"/>
    <col min="527" max="527" width="16.140625" customWidth="1"/>
    <col min="767" max="767" width="82" bestFit="1" customWidth="1"/>
    <col min="768" max="768" width="14.5703125" customWidth="1"/>
    <col min="769" max="769" width="15.28515625" customWidth="1"/>
    <col min="770" max="770" width="14.140625" customWidth="1"/>
    <col min="771" max="771" width="12.42578125" bestFit="1" customWidth="1"/>
    <col min="772" max="772" width="11.7109375" bestFit="1" customWidth="1"/>
    <col min="773" max="773" width="13.28515625" customWidth="1"/>
    <col min="774" max="774" width="11.85546875" bestFit="1" customWidth="1"/>
    <col min="775" max="775" width="12.28515625" bestFit="1" customWidth="1"/>
    <col min="776" max="776" width="15.140625" customWidth="1"/>
    <col min="777" max="777" width="14.7109375" customWidth="1"/>
    <col min="778" max="778" width="12.85546875" bestFit="1" customWidth="1"/>
    <col min="779" max="781" width="0" hidden="1" customWidth="1"/>
    <col min="782" max="782" width="15.85546875" bestFit="1" customWidth="1"/>
    <col min="783" max="783" width="16.140625" customWidth="1"/>
    <col min="1023" max="1023" width="82" bestFit="1" customWidth="1"/>
    <col min="1024" max="1024" width="14.5703125" customWidth="1"/>
    <col min="1025" max="1025" width="15.28515625" customWidth="1"/>
    <col min="1026" max="1026" width="14.140625" customWidth="1"/>
    <col min="1027" max="1027" width="12.42578125" bestFit="1" customWidth="1"/>
    <col min="1028" max="1028" width="11.7109375" bestFit="1" customWidth="1"/>
    <col min="1029" max="1029" width="13.28515625" customWidth="1"/>
    <col min="1030" max="1030" width="11.85546875" bestFit="1" customWidth="1"/>
    <col min="1031" max="1031" width="12.28515625" bestFit="1" customWidth="1"/>
    <col min="1032" max="1032" width="15.140625" customWidth="1"/>
    <col min="1033" max="1033" width="14.7109375" customWidth="1"/>
    <col min="1034" max="1034" width="12.85546875" bestFit="1" customWidth="1"/>
    <col min="1035" max="1037" width="0" hidden="1" customWidth="1"/>
    <col min="1038" max="1038" width="15.85546875" bestFit="1" customWidth="1"/>
    <col min="1039" max="1039" width="16.140625" customWidth="1"/>
    <col min="1279" max="1279" width="82" bestFit="1" customWidth="1"/>
    <col min="1280" max="1280" width="14.5703125" customWidth="1"/>
    <col min="1281" max="1281" width="15.28515625" customWidth="1"/>
    <col min="1282" max="1282" width="14.140625" customWidth="1"/>
    <col min="1283" max="1283" width="12.42578125" bestFit="1" customWidth="1"/>
    <col min="1284" max="1284" width="11.7109375" bestFit="1" customWidth="1"/>
    <col min="1285" max="1285" width="13.28515625" customWidth="1"/>
    <col min="1286" max="1286" width="11.85546875" bestFit="1" customWidth="1"/>
    <col min="1287" max="1287" width="12.28515625" bestFit="1" customWidth="1"/>
    <col min="1288" max="1288" width="15.140625" customWidth="1"/>
    <col min="1289" max="1289" width="14.7109375" customWidth="1"/>
    <col min="1290" max="1290" width="12.85546875" bestFit="1" customWidth="1"/>
    <col min="1291" max="1293" width="0" hidden="1" customWidth="1"/>
    <col min="1294" max="1294" width="15.85546875" bestFit="1" customWidth="1"/>
    <col min="1295" max="1295" width="16.140625" customWidth="1"/>
    <col min="1535" max="1535" width="82" bestFit="1" customWidth="1"/>
    <col min="1536" max="1536" width="14.5703125" customWidth="1"/>
    <col min="1537" max="1537" width="15.28515625" customWidth="1"/>
    <col min="1538" max="1538" width="14.140625" customWidth="1"/>
    <col min="1539" max="1539" width="12.42578125" bestFit="1" customWidth="1"/>
    <col min="1540" max="1540" width="11.7109375" bestFit="1" customWidth="1"/>
    <col min="1541" max="1541" width="13.28515625" customWidth="1"/>
    <col min="1542" max="1542" width="11.85546875" bestFit="1" customWidth="1"/>
    <col min="1543" max="1543" width="12.28515625" bestFit="1" customWidth="1"/>
    <col min="1544" max="1544" width="15.140625" customWidth="1"/>
    <col min="1545" max="1545" width="14.7109375" customWidth="1"/>
    <col min="1546" max="1546" width="12.85546875" bestFit="1" customWidth="1"/>
    <col min="1547" max="1549" width="0" hidden="1" customWidth="1"/>
    <col min="1550" max="1550" width="15.85546875" bestFit="1" customWidth="1"/>
    <col min="1551" max="1551" width="16.140625" customWidth="1"/>
    <col min="1791" max="1791" width="82" bestFit="1" customWidth="1"/>
    <col min="1792" max="1792" width="14.5703125" customWidth="1"/>
    <col min="1793" max="1793" width="15.28515625" customWidth="1"/>
    <col min="1794" max="1794" width="14.140625" customWidth="1"/>
    <col min="1795" max="1795" width="12.42578125" bestFit="1" customWidth="1"/>
    <col min="1796" max="1796" width="11.7109375" bestFit="1" customWidth="1"/>
    <col min="1797" max="1797" width="13.28515625" customWidth="1"/>
    <col min="1798" max="1798" width="11.85546875" bestFit="1" customWidth="1"/>
    <col min="1799" max="1799" width="12.28515625" bestFit="1" customWidth="1"/>
    <col min="1800" max="1800" width="15.140625" customWidth="1"/>
    <col min="1801" max="1801" width="14.7109375" customWidth="1"/>
    <col min="1802" max="1802" width="12.85546875" bestFit="1" customWidth="1"/>
    <col min="1803" max="1805" width="0" hidden="1" customWidth="1"/>
    <col min="1806" max="1806" width="15.85546875" bestFit="1" customWidth="1"/>
    <col min="1807" max="1807" width="16.140625" customWidth="1"/>
    <col min="2047" max="2047" width="82" bestFit="1" customWidth="1"/>
    <col min="2048" max="2048" width="14.5703125" customWidth="1"/>
    <col min="2049" max="2049" width="15.28515625" customWidth="1"/>
    <col min="2050" max="2050" width="14.140625" customWidth="1"/>
    <col min="2051" max="2051" width="12.42578125" bestFit="1" customWidth="1"/>
    <col min="2052" max="2052" width="11.7109375" bestFit="1" customWidth="1"/>
    <col min="2053" max="2053" width="13.28515625" customWidth="1"/>
    <col min="2054" max="2054" width="11.85546875" bestFit="1" customWidth="1"/>
    <col min="2055" max="2055" width="12.28515625" bestFit="1" customWidth="1"/>
    <col min="2056" max="2056" width="15.140625" customWidth="1"/>
    <col min="2057" max="2057" width="14.7109375" customWidth="1"/>
    <col min="2058" max="2058" width="12.85546875" bestFit="1" customWidth="1"/>
    <col min="2059" max="2061" width="0" hidden="1" customWidth="1"/>
    <col min="2062" max="2062" width="15.85546875" bestFit="1" customWidth="1"/>
    <col min="2063" max="2063" width="16.140625" customWidth="1"/>
    <col min="2303" max="2303" width="82" bestFit="1" customWidth="1"/>
    <col min="2304" max="2304" width="14.5703125" customWidth="1"/>
    <col min="2305" max="2305" width="15.28515625" customWidth="1"/>
    <col min="2306" max="2306" width="14.140625" customWidth="1"/>
    <col min="2307" max="2307" width="12.42578125" bestFit="1" customWidth="1"/>
    <col min="2308" max="2308" width="11.7109375" bestFit="1" customWidth="1"/>
    <col min="2309" max="2309" width="13.28515625" customWidth="1"/>
    <col min="2310" max="2310" width="11.85546875" bestFit="1" customWidth="1"/>
    <col min="2311" max="2311" width="12.28515625" bestFit="1" customWidth="1"/>
    <col min="2312" max="2312" width="15.140625" customWidth="1"/>
    <col min="2313" max="2313" width="14.7109375" customWidth="1"/>
    <col min="2314" max="2314" width="12.85546875" bestFit="1" customWidth="1"/>
    <col min="2315" max="2317" width="0" hidden="1" customWidth="1"/>
    <col min="2318" max="2318" width="15.85546875" bestFit="1" customWidth="1"/>
    <col min="2319" max="2319" width="16.140625" customWidth="1"/>
    <col min="2559" max="2559" width="82" bestFit="1" customWidth="1"/>
    <col min="2560" max="2560" width="14.5703125" customWidth="1"/>
    <col min="2561" max="2561" width="15.28515625" customWidth="1"/>
    <col min="2562" max="2562" width="14.140625" customWidth="1"/>
    <col min="2563" max="2563" width="12.42578125" bestFit="1" customWidth="1"/>
    <col min="2564" max="2564" width="11.7109375" bestFit="1" customWidth="1"/>
    <col min="2565" max="2565" width="13.28515625" customWidth="1"/>
    <col min="2566" max="2566" width="11.85546875" bestFit="1" customWidth="1"/>
    <col min="2567" max="2567" width="12.28515625" bestFit="1" customWidth="1"/>
    <col min="2568" max="2568" width="15.140625" customWidth="1"/>
    <col min="2569" max="2569" width="14.7109375" customWidth="1"/>
    <col min="2570" max="2570" width="12.85546875" bestFit="1" customWidth="1"/>
    <col min="2571" max="2573" width="0" hidden="1" customWidth="1"/>
    <col min="2574" max="2574" width="15.85546875" bestFit="1" customWidth="1"/>
    <col min="2575" max="2575" width="16.140625" customWidth="1"/>
    <col min="2815" max="2815" width="82" bestFit="1" customWidth="1"/>
    <col min="2816" max="2816" width="14.5703125" customWidth="1"/>
    <col min="2817" max="2817" width="15.28515625" customWidth="1"/>
    <col min="2818" max="2818" width="14.140625" customWidth="1"/>
    <col min="2819" max="2819" width="12.42578125" bestFit="1" customWidth="1"/>
    <col min="2820" max="2820" width="11.7109375" bestFit="1" customWidth="1"/>
    <col min="2821" max="2821" width="13.28515625" customWidth="1"/>
    <col min="2822" max="2822" width="11.85546875" bestFit="1" customWidth="1"/>
    <col min="2823" max="2823" width="12.28515625" bestFit="1" customWidth="1"/>
    <col min="2824" max="2824" width="15.140625" customWidth="1"/>
    <col min="2825" max="2825" width="14.7109375" customWidth="1"/>
    <col min="2826" max="2826" width="12.85546875" bestFit="1" customWidth="1"/>
    <col min="2827" max="2829" width="0" hidden="1" customWidth="1"/>
    <col min="2830" max="2830" width="15.85546875" bestFit="1" customWidth="1"/>
    <col min="2831" max="2831" width="16.140625" customWidth="1"/>
    <col min="3071" max="3071" width="82" bestFit="1" customWidth="1"/>
    <col min="3072" max="3072" width="14.5703125" customWidth="1"/>
    <col min="3073" max="3073" width="15.28515625" customWidth="1"/>
    <col min="3074" max="3074" width="14.140625" customWidth="1"/>
    <col min="3075" max="3075" width="12.42578125" bestFit="1" customWidth="1"/>
    <col min="3076" max="3076" width="11.7109375" bestFit="1" customWidth="1"/>
    <col min="3077" max="3077" width="13.28515625" customWidth="1"/>
    <col min="3078" max="3078" width="11.85546875" bestFit="1" customWidth="1"/>
    <col min="3079" max="3079" width="12.28515625" bestFit="1" customWidth="1"/>
    <col min="3080" max="3080" width="15.140625" customWidth="1"/>
    <col min="3081" max="3081" width="14.7109375" customWidth="1"/>
    <col min="3082" max="3082" width="12.85546875" bestFit="1" customWidth="1"/>
    <col min="3083" max="3085" width="0" hidden="1" customWidth="1"/>
    <col min="3086" max="3086" width="15.85546875" bestFit="1" customWidth="1"/>
    <col min="3087" max="3087" width="16.140625" customWidth="1"/>
    <col min="3327" max="3327" width="82" bestFit="1" customWidth="1"/>
    <col min="3328" max="3328" width="14.5703125" customWidth="1"/>
    <col min="3329" max="3329" width="15.28515625" customWidth="1"/>
    <col min="3330" max="3330" width="14.140625" customWidth="1"/>
    <col min="3331" max="3331" width="12.42578125" bestFit="1" customWidth="1"/>
    <col min="3332" max="3332" width="11.7109375" bestFit="1" customWidth="1"/>
    <col min="3333" max="3333" width="13.28515625" customWidth="1"/>
    <col min="3334" max="3334" width="11.85546875" bestFit="1" customWidth="1"/>
    <col min="3335" max="3335" width="12.28515625" bestFit="1" customWidth="1"/>
    <col min="3336" max="3336" width="15.140625" customWidth="1"/>
    <col min="3337" max="3337" width="14.7109375" customWidth="1"/>
    <col min="3338" max="3338" width="12.85546875" bestFit="1" customWidth="1"/>
    <col min="3339" max="3341" width="0" hidden="1" customWidth="1"/>
    <col min="3342" max="3342" width="15.85546875" bestFit="1" customWidth="1"/>
    <col min="3343" max="3343" width="16.140625" customWidth="1"/>
    <col min="3583" max="3583" width="82" bestFit="1" customWidth="1"/>
    <col min="3584" max="3584" width="14.5703125" customWidth="1"/>
    <col min="3585" max="3585" width="15.28515625" customWidth="1"/>
    <col min="3586" max="3586" width="14.140625" customWidth="1"/>
    <col min="3587" max="3587" width="12.42578125" bestFit="1" customWidth="1"/>
    <col min="3588" max="3588" width="11.7109375" bestFit="1" customWidth="1"/>
    <col min="3589" max="3589" width="13.28515625" customWidth="1"/>
    <col min="3590" max="3590" width="11.85546875" bestFit="1" customWidth="1"/>
    <col min="3591" max="3591" width="12.28515625" bestFit="1" customWidth="1"/>
    <col min="3592" max="3592" width="15.140625" customWidth="1"/>
    <col min="3593" max="3593" width="14.7109375" customWidth="1"/>
    <col min="3594" max="3594" width="12.85546875" bestFit="1" customWidth="1"/>
    <col min="3595" max="3597" width="0" hidden="1" customWidth="1"/>
    <col min="3598" max="3598" width="15.85546875" bestFit="1" customWidth="1"/>
    <col min="3599" max="3599" width="16.140625" customWidth="1"/>
    <col min="3839" max="3839" width="82" bestFit="1" customWidth="1"/>
    <col min="3840" max="3840" width="14.5703125" customWidth="1"/>
    <col min="3841" max="3841" width="15.28515625" customWidth="1"/>
    <col min="3842" max="3842" width="14.140625" customWidth="1"/>
    <col min="3843" max="3843" width="12.42578125" bestFit="1" customWidth="1"/>
    <col min="3844" max="3844" width="11.7109375" bestFit="1" customWidth="1"/>
    <col min="3845" max="3845" width="13.28515625" customWidth="1"/>
    <col min="3846" max="3846" width="11.85546875" bestFit="1" customWidth="1"/>
    <col min="3847" max="3847" width="12.28515625" bestFit="1" customWidth="1"/>
    <col min="3848" max="3848" width="15.140625" customWidth="1"/>
    <col min="3849" max="3849" width="14.7109375" customWidth="1"/>
    <col min="3850" max="3850" width="12.85546875" bestFit="1" customWidth="1"/>
    <col min="3851" max="3853" width="0" hidden="1" customWidth="1"/>
    <col min="3854" max="3854" width="15.85546875" bestFit="1" customWidth="1"/>
    <col min="3855" max="3855" width="16.140625" customWidth="1"/>
    <col min="4095" max="4095" width="82" bestFit="1" customWidth="1"/>
    <col min="4096" max="4096" width="14.5703125" customWidth="1"/>
    <col min="4097" max="4097" width="15.28515625" customWidth="1"/>
    <col min="4098" max="4098" width="14.140625" customWidth="1"/>
    <col min="4099" max="4099" width="12.42578125" bestFit="1" customWidth="1"/>
    <col min="4100" max="4100" width="11.7109375" bestFit="1" customWidth="1"/>
    <col min="4101" max="4101" width="13.28515625" customWidth="1"/>
    <col min="4102" max="4102" width="11.85546875" bestFit="1" customWidth="1"/>
    <col min="4103" max="4103" width="12.28515625" bestFit="1" customWidth="1"/>
    <col min="4104" max="4104" width="15.140625" customWidth="1"/>
    <col min="4105" max="4105" width="14.7109375" customWidth="1"/>
    <col min="4106" max="4106" width="12.85546875" bestFit="1" customWidth="1"/>
    <col min="4107" max="4109" width="0" hidden="1" customWidth="1"/>
    <col min="4110" max="4110" width="15.85546875" bestFit="1" customWidth="1"/>
    <col min="4111" max="4111" width="16.140625" customWidth="1"/>
    <col min="4351" max="4351" width="82" bestFit="1" customWidth="1"/>
    <col min="4352" max="4352" width="14.5703125" customWidth="1"/>
    <col min="4353" max="4353" width="15.28515625" customWidth="1"/>
    <col min="4354" max="4354" width="14.140625" customWidth="1"/>
    <col min="4355" max="4355" width="12.42578125" bestFit="1" customWidth="1"/>
    <col min="4356" max="4356" width="11.7109375" bestFit="1" customWidth="1"/>
    <col min="4357" max="4357" width="13.28515625" customWidth="1"/>
    <col min="4358" max="4358" width="11.85546875" bestFit="1" customWidth="1"/>
    <col min="4359" max="4359" width="12.28515625" bestFit="1" customWidth="1"/>
    <col min="4360" max="4360" width="15.140625" customWidth="1"/>
    <col min="4361" max="4361" width="14.7109375" customWidth="1"/>
    <col min="4362" max="4362" width="12.85546875" bestFit="1" customWidth="1"/>
    <col min="4363" max="4365" width="0" hidden="1" customWidth="1"/>
    <col min="4366" max="4366" width="15.85546875" bestFit="1" customWidth="1"/>
    <col min="4367" max="4367" width="16.140625" customWidth="1"/>
    <col min="4607" max="4607" width="82" bestFit="1" customWidth="1"/>
    <col min="4608" max="4608" width="14.5703125" customWidth="1"/>
    <col min="4609" max="4609" width="15.28515625" customWidth="1"/>
    <col min="4610" max="4610" width="14.140625" customWidth="1"/>
    <col min="4611" max="4611" width="12.42578125" bestFit="1" customWidth="1"/>
    <col min="4612" max="4612" width="11.7109375" bestFit="1" customWidth="1"/>
    <col min="4613" max="4613" width="13.28515625" customWidth="1"/>
    <col min="4614" max="4614" width="11.85546875" bestFit="1" customWidth="1"/>
    <col min="4615" max="4615" width="12.28515625" bestFit="1" customWidth="1"/>
    <col min="4616" max="4616" width="15.140625" customWidth="1"/>
    <col min="4617" max="4617" width="14.7109375" customWidth="1"/>
    <col min="4618" max="4618" width="12.85546875" bestFit="1" customWidth="1"/>
    <col min="4619" max="4621" width="0" hidden="1" customWidth="1"/>
    <col min="4622" max="4622" width="15.85546875" bestFit="1" customWidth="1"/>
    <col min="4623" max="4623" width="16.140625" customWidth="1"/>
    <col min="4863" max="4863" width="82" bestFit="1" customWidth="1"/>
    <col min="4864" max="4864" width="14.5703125" customWidth="1"/>
    <col min="4865" max="4865" width="15.28515625" customWidth="1"/>
    <col min="4866" max="4866" width="14.140625" customWidth="1"/>
    <col min="4867" max="4867" width="12.42578125" bestFit="1" customWidth="1"/>
    <col min="4868" max="4868" width="11.7109375" bestFit="1" customWidth="1"/>
    <col min="4869" max="4869" width="13.28515625" customWidth="1"/>
    <col min="4870" max="4870" width="11.85546875" bestFit="1" customWidth="1"/>
    <col min="4871" max="4871" width="12.28515625" bestFit="1" customWidth="1"/>
    <col min="4872" max="4872" width="15.140625" customWidth="1"/>
    <col min="4873" max="4873" width="14.7109375" customWidth="1"/>
    <col min="4874" max="4874" width="12.85546875" bestFit="1" customWidth="1"/>
    <col min="4875" max="4877" width="0" hidden="1" customWidth="1"/>
    <col min="4878" max="4878" width="15.85546875" bestFit="1" customWidth="1"/>
    <col min="4879" max="4879" width="16.140625" customWidth="1"/>
    <col min="5119" max="5119" width="82" bestFit="1" customWidth="1"/>
    <col min="5120" max="5120" width="14.5703125" customWidth="1"/>
    <col min="5121" max="5121" width="15.28515625" customWidth="1"/>
    <col min="5122" max="5122" width="14.140625" customWidth="1"/>
    <col min="5123" max="5123" width="12.42578125" bestFit="1" customWidth="1"/>
    <col min="5124" max="5124" width="11.7109375" bestFit="1" customWidth="1"/>
    <col min="5125" max="5125" width="13.28515625" customWidth="1"/>
    <col min="5126" max="5126" width="11.85546875" bestFit="1" customWidth="1"/>
    <col min="5127" max="5127" width="12.28515625" bestFit="1" customWidth="1"/>
    <col min="5128" max="5128" width="15.140625" customWidth="1"/>
    <col min="5129" max="5129" width="14.7109375" customWidth="1"/>
    <col min="5130" max="5130" width="12.85546875" bestFit="1" customWidth="1"/>
    <col min="5131" max="5133" width="0" hidden="1" customWidth="1"/>
    <col min="5134" max="5134" width="15.85546875" bestFit="1" customWidth="1"/>
    <col min="5135" max="5135" width="16.140625" customWidth="1"/>
    <col min="5375" max="5375" width="82" bestFit="1" customWidth="1"/>
    <col min="5376" max="5376" width="14.5703125" customWidth="1"/>
    <col min="5377" max="5377" width="15.28515625" customWidth="1"/>
    <col min="5378" max="5378" width="14.140625" customWidth="1"/>
    <col min="5379" max="5379" width="12.42578125" bestFit="1" customWidth="1"/>
    <col min="5380" max="5380" width="11.7109375" bestFit="1" customWidth="1"/>
    <col min="5381" max="5381" width="13.28515625" customWidth="1"/>
    <col min="5382" max="5382" width="11.85546875" bestFit="1" customWidth="1"/>
    <col min="5383" max="5383" width="12.28515625" bestFit="1" customWidth="1"/>
    <col min="5384" max="5384" width="15.140625" customWidth="1"/>
    <col min="5385" max="5385" width="14.7109375" customWidth="1"/>
    <col min="5386" max="5386" width="12.85546875" bestFit="1" customWidth="1"/>
    <col min="5387" max="5389" width="0" hidden="1" customWidth="1"/>
    <col min="5390" max="5390" width="15.85546875" bestFit="1" customWidth="1"/>
    <col min="5391" max="5391" width="16.140625" customWidth="1"/>
    <col min="5631" max="5631" width="82" bestFit="1" customWidth="1"/>
    <col min="5632" max="5632" width="14.5703125" customWidth="1"/>
    <col min="5633" max="5633" width="15.28515625" customWidth="1"/>
    <col min="5634" max="5634" width="14.140625" customWidth="1"/>
    <col min="5635" max="5635" width="12.42578125" bestFit="1" customWidth="1"/>
    <col min="5636" max="5636" width="11.7109375" bestFit="1" customWidth="1"/>
    <col min="5637" max="5637" width="13.28515625" customWidth="1"/>
    <col min="5638" max="5638" width="11.85546875" bestFit="1" customWidth="1"/>
    <col min="5639" max="5639" width="12.28515625" bestFit="1" customWidth="1"/>
    <col min="5640" max="5640" width="15.140625" customWidth="1"/>
    <col min="5641" max="5641" width="14.7109375" customWidth="1"/>
    <col min="5642" max="5642" width="12.85546875" bestFit="1" customWidth="1"/>
    <col min="5643" max="5645" width="0" hidden="1" customWidth="1"/>
    <col min="5646" max="5646" width="15.85546875" bestFit="1" customWidth="1"/>
    <col min="5647" max="5647" width="16.140625" customWidth="1"/>
    <col min="5887" max="5887" width="82" bestFit="1" customWidth="1"/>
    <col min="5888" max="5888" width="14.5703125" customWidth="1"/>
    <col min="5889" max="5889" width="15.28515625" customWidth="1"/>
    <col min="5890" max="5890" width="14.140625" customWidth="1"/>
    <col min="5891" max="5891" width="12.42578125" bestFit="1" customWidth="1"/>
    <col min="5892" max="5892" width="11.7109375" bestFit="1" customWidth="1"/>
    <col min="5893" max="5893" width="13.28515625" customWidth="1"/>
    <col min="5894" max="5894" width="11.85546875" bestFit="1" customWidth="1"/>
    <col min="5895" max="5895" width="12.28515625" bestFit="1" customWidth="1"/>
    <col min="5896" max="5896" width="15.140625" customWidth="1"/>
    <col min="5897" max="5897" width="14.7109375" customWidth="1"/>
    <col min="5898" max="5898" width="12.85546875" bestFit="1" customWidth="1"/>
    <col min="5899" max="5901" width="0" hidden="1" customWidth="1"/>
    <col min="5902" max="5902" width="15.85546875" bestFit="1" customWidth="1"/>
    <col min="5903" max="5903" width="16.140625" customWidth="1"/>
    <col min="6143" max="6143" width="82" bestFit="1" customWidth="1"/>
    <col min="6144" max="6144" width="14.5703125" customWidth="1"/>
    <col min="6145" max="6145" width="15.28515625" customWidth="1"/>
    <col min="6146" max="6146" width="14.140625" customWidth="1"/>
    <col min="6147" max="6147" width="12.42578125" bestFit="1" customWidth="1"/>
    <col min="6148" max="6148" width="11.7109375" bestFit="1" customWidth="1"/>
    <col min="6149" max="6149" width="13.28515625" customWidth="1"/>
    <col min="6150" max="6150" width="11.85546875" bestFit="1" customWidth="1"/>
    <col min="6151" max="6151" width="12.28515625" bestFit="1" customWidth="1"/>
    <col min="6152" max="6152" width="15.140625" customWidth="1"/>
    <col min="6153" max="6153" width="14.7109375" customWidth="1"/>
    <col min="6154" max="6154" width="12.85546875" bestFit="1" customWidth="1"/>
    <col min="6155" max="6157" width="0" hidden="1" customWidth="1"/>
    <col min="6158" max="6158" width="15.85546875" bestFit="1" customWidth="1"/>
    <col min="6159" max="6159" width="16.140625" customWidth="1"/>
    <col min="6399" max="6399" width="82" bestFit="1" customWidth="1"/>
    <col min="6400" max="6400" width="14.5703125" customWidth="1"/>
    <col min="6401" max="6401" width="15.28515625" customWidth="1"/>
    <col min="6402" max="6402" width="14.140625" customWidth="1"/>
    <col min="6403" max="6403" width="12.42578125" bestFit="1" customWidth="1"/>
    <col min="6404" max="6404" width="11.7109375" bestFit="1" customWidth="1"/>
    <col min="6405" max="6405" width="13.28515625" customWidth="1"/>
    <col min="6406" max="6406" width="11.85546875" bestFit="1" customWidth="1"/>
    <col min="6407" max="6407" width="12.28515625" bestFit="1" customWidth="1"/>
    <col min="6408" max="6408" width="15.140625" customWidth="1"/>
    <col min="6409" max="6409" width="14.7109375" customWidth="1"/>
    <col min="6410" max="6410" width="12.85546875" bestFit="1" customWidth="1"/>
    <col min="6411" max="6413" width="0" hidden="1" customWidth="1"/>
    <col min="6414" max="6414" width="15.85546875" bestFit="1" customWidth="1"/>
    <col min="6415" max="6415" width="16.140625" customWidth="1"/>
    <col min="6655" max="6655" width="82" bestFit="1" customWidth="1"/>
    <col min="6656" max="6656" width="14.5703125" customWidth="1"/>
    <col min="6657" max="6657" width="15.28515625" customWidth="1"/>
    <col min="6658" max="6658" width="14.140625" customWidth="1"/>
    <col min="6659" max="6659" width="12.42578125" bestFit="1" customWidth="1"/>
    <col min="6660" max="6660" width="11.7109375" bestFit="1" customWidth="1"/>
    <col min="6661" max="6661" width="13.28515625" customWidth="1"/>
    <col min="6662" max="6662" width="11.85546875" bestFit="1" customWidth="1"/>
    <col min="6663" max="6663" width="12.28515625" bestFit="1" customWidth="1"/>
    <col min="6664" max="6664" width="15.140625" customWidth="1"/>
    <col min="6665" max="6665" width="14.7109375" customWidth="1"/>
    <col min="6666" max="6666" width="12.85546875" bestFit="1" customWidth="1"/>
    <col min="6667" max="6669" width="0" hidden="1" customWidth="1"/>
    <col min="6670" max="6670" width="15.85546875" bestFit="1" customWidth="1"/>
    <col min="6671" max="6671" width="16.140625" customWidth="1"/>
    <col min="6911" max="6911" width="82" bestFit="1" customWidth="1"/>
    <col min="6912" max="6912" width="14.5703125" customWidth="1"/>
    <col min="6913" max="6913" width="15.28515625" customWidth="1"/>
    <col min="6914" max="6914" width="14.140625" customWidth="1"/>
    <col min="6915" max="6915" width="12.42578125" bestFit="1" customWidth="1"/>
    <col min="6916" max="6916" width="11.7109375" bestFit="1" customWidth="1"/>
    <col min="6917" max="6917" width="13.28515625" customWidth="1"/>
    <col min="6918" max="6918" width="11.85546875" bestFit="1" customWidth="1"/>
    <col min="6919" max="6919" width="12.28515625" bestFit="1" customWidth="1"/>
    <col min="6920" max="6920" width="15.140625" customWidth="1"/>
    <col min="6921" max="6921" width="14.7109375" customWidth="1"/>
    <col min="6922" max="6922" width="12.85546875" bestFit="1" customWidth="1"/>
    <col min="6923" max="6925" width="0" hidden="1" customWidth="1"/>
    <col min="6926" max="6926" width="15.85546875" bestFit="1" customWidth="1"/>
    <col min="6927" max="6927" width="16.140625" customWidth="1"/>
    <col min="7167" max="7167" width="82" bestFit="1" customWidth="1"/>
    <col min="7168" max="7168" width="14.5703125" customWidth="1"/>
    <col min="7169" max="7169" width="15.28515625" customWidth="1"/>
    <col min="7170" max="7170" width="14.140625" customWidth="1"/>
    <col min="7171" max="7171" width="12.42578125" bestFit="1" customWidth="1"/>
    <col min="7172" max="7172" width="11.7109375" bestFit="1" customWidth="1"/>
    <col min="7173" max="7173" width="13.28515625" customWidth="1"/>
    <col min="7174" max="7174" width="11.85546875" bestFit="1" customWidth="1"/>
    <col min="7175" max="7175" width="12.28515625" bestFit="1" customWidth="1"/>
    <col min="7176" max="7176" width="15.140625" customWidth="1"/>
    <col min="7177" max="7177" width="14.7109375" customWidth="1"/>
    <col min="7178" max="7178" width="12.85546875" bestFit="1" customWidth="1"/>
    <col min="7179" max="7181" width="0" hidden="1" customWidth="1"/>
    <col min="7182" max="7182" width="15.85546875" bestFit="1" customWidth="1"/>
    <col min="7183" max="7183" width="16.140625" customWidth="1"/>
    <col min="7423" max="7423" width="82" bestFit="1" customWidth="1"/>
    <col min="7424" max="7424" width="14.5703125" customWidth="1"/>
    <col min="7425" max="7425" width="15.28515625" customWidth="1"/>
    <col min="7426" max="7426" width="14.140625" customWidth="1"/>
    <col min="7427" max="7427" width="12.42578125" bestFit="1" customWidth="1"/>
    <col min="7428" max="7428" width="11.7109375" bestFit="1" customWidth="1"/>
    <col min="7429" max="7429" width="13.28515625" customWidth="1"/>
    <col min="7430" max="7430" width="11.85546875" bestFit="1" customWidth="1"/>
    <col min="7431" max="7431" width="12.28515625" bestFit="1" customWidth="1"/>
    <col min="7432" max="7432" width="15.140625" customWidth="1"/>
    <col min="7433" max="7433" width="14.7109375" customWidth="1"/>
    <col min="7434" max="7434" width="12.85546875" bestFit="1" customWidth="1"/>
    <col min="7435" max="7437" width="0" hidden="1" customWidth="1"/>
    <col min="7438" max="7438" width="15.85546875" bestFit="1" customWidth="1"/>
    <col min="7439" max="7439" width="16.140625" customWidth="1"/>
    <col min="7679" max="7679" width="82" bestFit="1" customWidth="1"/>
    <col min="7680" max="7680" width="14.5703125" customWidth="1"/>
    <col min="7681" max="7681" width="15.28515625" customWidth="1"/>
    <col min="7682" max="7682" width="14.140625" customWidth="1"/>
    <col min="7683" max="7683" width="12.42578125" bestFit="1" customWidth="1"/>
    <col min="7684" max="7684" width="11.7109375" bestFit="1" customWidth="1"/>
    <col min="7685" max="7685" width="13.28515625" customWidth="1"/>
    <col min="7686" max="7686" width="11.85546875" bestFit="1" customWidth="1"/>
    <col min="7687" max="7687" width="12.28515625" bestFit="1" customWidth="1"/>
    <col min="7688" max="7688" width="15.140625" customWidth="1"/>
    <col min="7689" max="7689" width="14.7109375" customWidth="1"/>
    <col min="7690" max="7690" width="12.85546875" bestFit="1" customWidth="1"/>
    <col min="7691" max="7693" width="0" hidden="1" customWidth="1"/>
    <col min="7694" max="7694" width="15.85546875" bestFit="1" customWidth="1"/>
    <col min="7695" max="7695" width="16.140625" customWidth="1"/>
    <col min="7935" max="7935" width="82" bestFit="1" customWidth="1"/>
    <col min="7936" max="7936" width="14.5703125" customWidth="1"/>
    <col min="7937" max="7937" width="15.28515625" customWidth="1"/>
    <col min="7938" max="7938" width="14.140625" customWidth="1"/>
    <col min="7939" max="7939" width="12.42578125" bestFit="1" customWidth="1"/>
    <col min="7940" max="7940" width="11.7109375" bestFit="1" customWidth="1"/>
    <col min="7941" max="7941" width="13.28515625" customWidth="1"/>
    <col min="7942" max="7942" width="11.85546875" bestFit="1" customWidth="1"/>
    <col min="7943" max="7943" width="12.28515625" bestFit="1" customWidth="1"/>
    <col min="7944" max="7944" width="15.140625" customWidth="1"/>
    <col min="7945" max="7945" width="14.7109375" customWidth="1"/>
    <col min="7946" max="7946" width="12.85546875" bestFit="1" customWidth="1"/>
    <col min="7947" max="7949" width="0" hidden="1" customWidth="1"/>
    <col min="7950" max="7950" width="15.85546875" bestFit="1" customWidth="1"/>
    <col min="7951" max="7951" width="16.140625" customWidth="1"/>
    <col min="8191" max="8191" width="82" bestFit="1" customWidth="1"/>
    <col min="8192" max="8192" width="14.5703125" customWidth="1"/>
    <col min="8193" max="8193" width="15.28515625" customWidth="1"/>
    <col min="8194" max="8194" width="14.140625" customWidth="1"/>
    <col min="8195" max="8195" width="12.42578125" bestFit="1" customWidth="1"/>
    <col min="8196" max="8196" width="11.7109375" bestFit="1" customWidth="1"/>
    <col min="8197" max="8197" width="13.28515625" customWidth="1"/>
    <col min="8198" max="8198" width="11.85546875" bestFit="1" customWidth="1"/>
    <col min="8199" max="8199" width="12.28515625" bestFit="1" customWidth="1"/>
    <col min="8200" max="8200" width="15.140625" customWidth="1"/>
    <col min="8201" max="8201" width="14.7109375" customWidth="1"/>
    <col min="8202" max="8202" width="12.85546875" bestFit="1" customWidth="1"/>
    <col min="8203" max="8205" width="0" hidden="1" customWidth="1"/>
    <col min="8206" max="8206" width="15.85546875" bestFit="1" customWidth="1"/>
    <col min="8207" max="8207" width="16.140625" customWidth="1"/>
    <col min="8447" max="8447" width="82" bestFit="1" customWidth="1"/>
    <col min="8448" max="8448" width="14.5703125" customWidth="1"/>
    <col min="8449" max="8449" width="15.28515625" customWidth="1"/>
    <col min="8450" max="8450" width="14.140625" customWidth="1"/>
    <col min="8451" max="8451" width="12.42578125" bestFit="1" customWidth="1"/>
    <col min="8452" max="8452" width="11.7109375" bestFit="1" customWidth="1"/>
    <col min="8453" max="8453" width="13.28515625" customWidth="1"/>
    <col min="8454" max="8454" width="11.85546875" bestFit="1" customWidth="1"/>
    <col min="8455" max="8455" width="12.28515625" bestFit="1" customWidth="1"/>
    <col min="8456" max="8456" width="15.140625" customWidth="1"/>
    <col min="8457" max="8457" width="14.7109375" customWidth="1"/>
    <col min="8458" max="8458" width="12.85546875" bestFit="1" customWidth="1"/>
    <col min="8459" max="8461" width="0" hidden="1" customWidth="1"/>
    <col min="8462" max="8462" width="15.85546875" bestFit="1" customWidth="1"/>
    <col min="8463" max="8463" width="16.140625" customWidth="1"/>
    <col min="8703" max="8703" width="82" bestFit="1" customWidth="1"/>
    <col min="8704" max="8704" width="14.5703125" customWidth="1"/>
    <col min="8705" max="8705" width="15.28515625" customWidth="1"/>
    <col min="8706" max="8706" width="14.140625" customWidth="1"/>
    <col min="8707" max="8707" width="12.42578125" bestFit="1" customWidth="1"/>
    <col min="8708" max="8708" width="11.7109375" bestFit="1" customWidth="1"/>
    <col min="8709" max="8709" width="13.28515625" customWidth="1"/>
    <col min="8710" max="8710" width="11.85546875" bestFit="1" customWidth="1"/>
    <col min="8711" max="8711" width="12.28515625" bestFit="1" customWidth="1"/>
    <col min="8712" max="8712" width="15.140625" customWidth="1"/>
    <col min="8713" max="8713" width="14.7109375" customWidth="1"/>
    <col min="8714" max="8714" width="12.85546875" bestFit="1" customWidth="1"/>
    <col min="8715" max="8717" width="0" hidden="1" customWidth="1"/>
    <col min="8718" max="8718" width="15.85546875" bestFit="1" customWidth="1"/>
    <col min="8719" max="8719" width="16.140625" customWidth="1"/>
    <col min="8959" max="8959" width="82" bestFit="1" customWidth="1"/>
    <col min="8960" max="8960" width="14.5703125" customWidth="1"/>
    <col min="8961" max="8961" width="15.28515625" customWidth="1"/>
    <col min="8962" max="8962" width="14.140625" customWidth="1"/>
    <col min="8963" max="8963" width="12.42578125" bestFit="1" customWidth="1"/>
    <col min="8964" max="8964" width="11.7109375" bestFit="1" customWidth="1"/>
    <col min="8965" max="8965" width="13.28515625" customWidth="1"/>
    <col min="8966" max="8966" width="11.85546875" bestFit="1" customWidth="1"/>
    <col min="8967" max="8967" width="12.28515625" bestFit="1" customWidth="1"/>
    <col min="8968" max="8968" width="15.140625" customWidth="1"/>
    <col min="8969" max="8969" width="14.7109375" customWidth="1"/>
    <col min="8970" max="8970" width="12.85546875" bestFit="1" customWidth="1"/>
    <col min="8971" max="8973" width="0" hidden="1" customWidth="1"/>
    <col min="8974" max="8974" width="15.85546875" bestFit="1" customWidth="1"/>
    <col min="8975" max="8975" width="16.140625" customWidth="1"/>
    <col min="9215" max="9215" width="82" bestFit="1" customWidth="1"/>
    <col min="9216" max="9216" width="14.5703125" customWidth="1"/>
    <col min="9217" max="9217" width="15.28515625" customWidth="1"/>
    <col min="9218" max="9218" width="14.140625" customWidth="1"/>
    <col min="9219" max="9219" width="12.42578125" bestFit="1" customWidth="1"/>
    <col min="9220" max="9220" width="11.7109375" bestFit="1" customWidth="1"/>
    <col min="9221" max="9221" width="13.28515625" customWidth="1"/>
    <col min="9222" max="9222" width="11.85546875" bestFit="1" customWidth="1"/>
    <col min="9223" max="9223" width="12.28515625" bestFit="1" customWidth="1"/>
    <col min="9224" max="9224" width="15.140625" customWidth="1"/>
    <col min="9225" max="9225" width="14.7109375" customWidth="1"/>
    <col min="9226" max="9226" width="12.85546875" bestFit="1" customWidth="1"/>
    <col min="9227" max="9229" width="0" hidden="1" customWidth="1"/>
    <col min="9230" max="9230" width="15.85546875" bestFit="1" customWidth="1"/>
    <col min="9231" max="9231" width="16.140625" customWidth="1"/>
    <col min="9471" max="9471" width="82" bestFit="1" customWidth="1"/>
    <col min="9472" max="9472" width="14.5703125" customWidth="1"/>
    <col min="9473" max="9473" width="15.28515625" customWidth="1"/>
    <col min="9474" max="9474" width="14.140625" customWidth="1"/>
    <col min="9475" max="9475" width="12.42578125" bestFit="1" customWidth="1"/>
    <col min="9476" max="9476" width="11.7109375" bestFit="1" customWidth="1"/>
    <col min="9477" max="9477" width="13.28515625" customWidth="1"/>
    <col min="9478" max="9478" width="11.85546875" bestFit="1" customWidth="1"/>
    <col min="9479" max="9479" width="12.28515625" bestFit="1" customWidth="1"/>
    <col min="9480" max="9480" width="15.140625" customWidth="1"/>
    <col min="9481" max="9481" width="14.7109375" customWidth="1"/>
    <col min="9482" max="9482" width="12.85546875" bestFit="1" customWidth="1"/>
    <col min="9483" max="9485" width="0" hidden="1" customWidth="1"/>
    <col min="9486" max="9486" width="15.85546875" bestFit="1" customWidth="1"/>
    <col min="9487" max="9487" width="16.140625" customWidth="1"/>
    <col min="9727" max="9727" width="82" bestFit="1" customWidth="1"/>
    <col min="9728" max="9728" width="14.5703125" customWidth="1"/>
    <col min="9729" max="9729" width="15.28515625" customWidth="1"/>
    <col min="9730" max="9730" width="14.140625" customWidth="1"/>
    <col min="9731" max="9731" width="12.42578125" bestFit="1" customWidth="1"/>
    <col min="9732" max="9732" width="11.7109375" bestFit="1" customWidth="1"/>
    <col min="9733" max="9733" width="13.28515625" customWidth="1"/>
    <col min="9734" max="9734" width="11.85546875" bestFit="1" customWidth="1"/>
    <col min="9735" max="9735" width="12.28515625" bestFit="1" customWidth="1"/>
    <col min="9736" max="9736" width="15.140625" customWidth="1"/>
    <col min="9737" max="9737" width="14.7109375" customWidth="1"/>
    <col min="9738" max="9738" width="12.85546875" bestFit="1" customWidth="1"/>
    <col min="9739" max="9741" width="0" hidden="1" customWidth="1"/>
    <col min="9742" max="9742" width="15.85546875" bestFit="1" customWidth="1"/>
    <col min="9743" max="9743" width="16.140625" customWidth="1"/>
    <col min="9983" max="9983" width="82" bestFit="1" customWidth="1"/>
    <col min="9984" max="9984" width="14.5703125" customWidth="1"/>
    <col min="9985" max="9985" width="15.28515625" customWidth="1"/>
    <col min="9986" max="9986" width="14.140625" customWidth="1"/>
    <col min="9987" max="9987" width="12.42578125" bestFit="1" customWidth="1"/>
    <col min="9988" max="9988" width="11.7109375" bestFit="1" customWidth="1"/>
    <col min="9989" max="9989" width="13.28515625" customWidth="1"/>
    <col min="9990" max="9990" width="11.85546875" bestFit="1" customWidth="1"/>
    <col min="9991" max="9991" width="12.28515625" bestFit="1" customWidth="1"/>
    <col min="9992" max="9992" width="15.140625" customWidth="1"/>
    <col min="9993" max="9993" width="14.7109375" customWidth="1"/>
    <col min="9994" max="9994" width="12.85546875" bestFit="1" customWidth="1"/>
    <col min="9995" max="9997" width="0" hidden="1" customWidth="1"/>
    <col min="9998" max="9998" width="15.85546875" bestFit="1" customWidth="1"/>
    <col min="9999" max="9999" width="16.140625" customWidth="1"/>
    <col min="10239" max="10239" width="82" bestFit="1" customWidth="1"/>
    <col min="10240" max="10240" width="14.5703125" customWidth="1"/>
    <col min="10241" max="10241" width="15.28515625" customWidth="1"/>
    <col min="10242" max="10242" width="14.140625" customWidth="1"/>
    <col min="10243" max="10243" width="12.42578125" bestFit="1" customWidth="1"/>
    <col min="10244" max="10244" width="11.7109375" bestFit="1" customWidth="1"/>
    <col min="10245" max="10245" width="13.28515625" customWidth="1"/>
    <col min="10246" max="10246" width="11.85546875" bestFit="1" customWidth="1"/>
    <col min="10247" max="10247" width="12.28515625" bestFit="1" customWidth="1"/>
    <col min="10248" max="10248" width="15.140625" customWidth="1"/>
    <col min="10249" max="10249" width="14.7109375" customWidth="1"/>
    <col min="10250" max="10250" width="12.85546875" bestFit="1" customWidth="1"/>
    <col min="10251" max="10253" width="0" hidden="1" customWidth="1"/>
    <col min="10254" max="10254" width="15.85546875" bestFit="1" customWidth="1"/>
    <col min="10255" max="10255" width="16.140625" customWidth="1"/>
    <col min="10495" max="10495" width="82" bestFit="1" customWidth="1"/>
    <col min="10496" max="10496" width="14.5703125" customWidth="1"/>
    <col min="10497" max="10497" width="15.28515625" customWidth="1"/>
    <col min="10498" max="10498" width="14.140625" customWidth="1"/>
    <col min="10499" max="10499" width="12.42578125" bestFit="1" customWidth="1"/>
    <col min="10500" max="10500" width="11.7109375" bestFit="1" customWidth="1"/>
    <col min="10501" max="10501" width="13.28515625" customWidth="1"/>
    <col min="10502" max="10502" width="11.85546875" bestFit="1" customWidth="1"/>
    <col min="10503" max="10503" width="12.28515625" bestFit="1" customWidth="1"/>
    <col min="10504" max="10504" width="15.140625" customWidth="1"/>
    <col min="10505" max="10505" width="14.7109375" customWidth="1"/>
    <col min="10506" max="10506" width="12.85546875" bestFit="1" customWidth="1"/>
    <col min="10507" max="10509" width="0" hidden="1" customWidth="1"/>
    <col min="10510" max="10510" width="15.85546875" bestFit="1" customWidth="1"/>
    <col min="10511" max="10511" width="16.140625" customWidth="1"/>
    <col min="10751" max="10751" width="82" bestFit="1" customWidth="1"/>
    <col min="10752" max="10752" width="14.5703125" customWidth="1"/>
    <col min="10753" max="10753" width="15.28515625" customWidth="1"/>
    <col min="10754" max="10754" width="14.140625" customWidth="1"/>
    <col min="10755" max="10755" width="12.42578125" bestFit="1" customWidth="1"/>
    <col min="10756" max="10756" width="11.7109375" bestFit="1" customWidth="1"/>
    <col min="10757" max="10757" width="13.28515625" customWidth="1"/>
    <col min="10758" max="10758" width="11.85546875" bestFit="1" customWidth="1"/>
    <col min="10759" max="10759" width="12.28515625" bestFit="1" customWidth="1"/>
    <col min="10760" max="10760" width="15.140625" customWidth="1"/>
    <col min="10761" max="10761" width="14.7109375" customWidth="1"/>
    <col min="10762" max="10762" width="12.85546875" bestFit="1" customWidth="1"/>
    <col min="10763" max="10765" width="0" hidden="1" customWidth="1"/>
    <col min="10766" max="10766" width="15.85546875" bestFit="1" customWidth="1"/>
    <col min="10767" max="10767" width="16.140625" customWidth="1"/>
    <col min="11007" max="11007" width="82" bestFit="1" customWidth="1"/>
    <col min="11008" max="11008" width="14.5703125" customWidth="1"/>
    <col min="11009" max="11009" width="15.28515625" customWidth="1"/>
    <col min="11010" max="11010" width="14.140625" customWidth="1"/>
    <col min="11011" max="11011" width="12.42578125" bestFit="1" customWidth="1"/>
    <col min="11012" max="11012" width="11.7109375" bestFit="1" customWidth="1"/>
    <col min="11013" max="11013" width="13.28515625" customWidth="1"/>
    <col min="11014" max="11014" width="11.85546875" bestFit="1" customWidth="1"/>
    <col min="11015" max="11015" width="12.28515625" bestFit="1" customWidth="1"/>
    <col min="11016" max="11016" width="15.140625" customWidth="1"/>
    <col min="11017" max="11017" width="14.7109375" customWidth="1"/>
    <col min="11018" max="11018" width="12.85546875" bestFit="1" customWidth="1"/>
    <col min="11019" max="11021" width="0" hidden="1" customWidth="1"/>
    <col min="11022" max="11022" width="15.85546875" bestFit="1" customWidth="1"/>
    <col min="11023" max="11023" width="16.140625" customWidth="1"/>
    <col min="11263" max="11263" width="82" bestFit="1" customWidth="1"/>
    <col min="11264" max="11264" width="14.5703125" customWidth="1"/>
    <col min="11265" max="11265" width="15.28515625" customWidth="1"/>
    <col min="11266" max="11266" width="14.140625" customWidth="1"/>
    <col min="11267" max="11267" width="12.42578125" bestFit="1" customWidth="1"/>
    <col min="11268" max="11268" width="11.7109375" bestFit="1" customWidth="1"/>
    <col min="11269" max="11269" width="13.28515625" customWidth="1"/>
    <col min="11270" max="11270" width="11.85546875" bestFit="1" customWidth="1"/>
    <col min="11271" max="11271" width="12.28515625" bestFit="1" customWidth="1"/>
    <col min="11272" max="11272" width="15.140625" customWidth="1"/>
    <col min="11273" max="11273" width="14.7109375" customWidth="1"/>
    <col min="11274" max="11274" width="12.85546875" bestFit="1" customWidth="1"/>
    <col min="11275" max="11277" width="0" hidden="1" customWidth="1"/>
    <col min="11278" max="11278" width="15.85546875" bestFit="1" customWidth="1"/>
    <col min="11279" max="11279" width="16.140625" customWidth="1"/>
    <col min="11519" max="11519" width="82" bestFit="1" customWidth="1"/>
    <col min="11520" max="11520" width="14.5703125" customWidth="1"/>
    <col min="11521" max="11521" width="15.28515625" customWidth="1"/>
    <col min="11522" max="11522" width="14.140625" customWidth="1"/>
    <col min="11523" max="11523" width="12.42578125" bestFit="1" customWidth="1"/>
    <col min="11524" max="11524" width="11.7109375" bestFit="1" customWidth="1"/>
    <col min="11525" max="11525" width="13.28515625" customWidth="1"/>
    <col min="11526" max="11526" width="11.85546875" bestFit="1" customWidth="1"/>
    <col min="11527" max="11527" width="12.28515625" bestFit="1" customWidth="1"/>
    <col min="11528" max="11528" width="15.140625" customWidth="1"/>
    <col min="11529" max="11529" width="14.7109375" customWidth="1"/>
    <col min="11530" max="11530" width="12.85546875" bestFit="1" customWidth="1"/>
    <col min="11531" max="11533" width="0" hidden="1" customWidth="1"/>
    <col min="11534" max="11534" width="15.85546875" bestFit="1" customWidth="1"/>
    <col min="11535" max="11535" width="16.140625" customWidth="1"/>
    <col min="11775" max="11775" width="82" bestFit="1" customWidth="1"/>
    <col min="11776" max="11776" width="14.5703125" customWidth="1"/>
    <col min="11777" max="11777" width="15.28515625" customWidth="1"/>
    <col min="11778" max="11778" width="14.140625" customWidth="1"/>
    <col min="11779" max="11779" width="12.42578125" bestFit="1" customWidth="1"/>
    <col min="11780" max="11780" width="11.7109375" bestFit="1" customWidth="1"/>
    <col min="11781" max="11781" width="13.28515625" customWidth="1"/>
    <col min="11782" max="11782" width="11.85546875" bestFit="1" customWidth="1"/>
    <col min="11783" max="11783" width="12.28515625" bestFit="1" customWidth="1"/>
    <col min="11784" max="11784" width="15.140625" customWidth="1"/>
    <col min="11785" max="11785" width="14.7109375" customWidth="1"/>
    <col min="11786" max="11786" width="12.85546875" bestFit="1" customWidth="1"/>
    <col min="11787" max="11789" width="0" hidden="1" customWidth="1"/>
    <col min="11790" max="11790" width="15.85546875" bestFit="1" customWidth="1"/>
    <col min="11791" max="11791" width="16.140625" customWidth="1"/>
    <col min="12031" max="12031" width="82" bestFit="1" customWidth="1"/>
    <col min="12032" max="12032" width="14.5703125" customWidth="1"/>
    <col min="12033" max="12033" width="15.28515625" customWidth="1"/>
    <col min="12034" max="12034" width="14.140625" customWidth="1"/>
    <col min="12035" max="12035" width="12.42578125" bestFit="1" customWidth="1"/>
    <col min="12036" max="12036" width="11.7109375" bestFit="1" customWidth="1"/>
    <col min="12037" max="12037" width="13.28515625" customWidth="1"/>
    <col min="12038" max="12038" width="11.85546875" bestFit="1" customWidth="1"/>
    <col min="12039" max="12039" width="12.28515625" bestFit="1" customWidth="1"/>
    <col min="12040" max="12040" width="15.140625" customWidth="1"/>
    <col min="12041" max="12041" width="14.7109375" customWidth="1"/>
    <col min="12042" max="12042" width="12.85546875" bestFit="1" customWidth="1"/>
    <col min="12043" max="12045" width="0" hidden="1" customWidth="1"/>
    <col min="12046" max="12046" width="15.85546875" bestFit="1" customWidth="1"/>
    <col min="12047" max="12047" width="16.140625" customWidth="1"/>
    <col min="12287" max="12287" width="82" bestFit="1" customWidth="1"/>
    <col min="12288" max="12288" width="14.5703125" customWidth="1"/>
    <col min="12289" max="12289" width="15.28515625" customWidth="1"/>
    <col min="12290" max="12290" width="14.140625" customWidth="1"/>
    <col min="12291" max="12291" width="12.42578125" bestFit="1" customWidth="1"/>
    <col min="12292" max="12292" width="11.7109375" bestFit="1" customWidth="1"/>
    <col min="12293" max="12293" width="13.28515625" customWidth="1"/>
    <col min="12294" max="12294" width="11.85546875" bestFit="1" customWidth="1"/>
    <col min="12295" max="12295" width="12.28515625" bestFit="1" customWidth="1"/>
    <col min="12296" max="12296" width="15.140625" customWidth="1"/>
    <col min="12297" max="12297" width="14.7109375" customWidth="1"/>
    <col min="12298" max="12298" width="12.85546875" bestFit="1" customWidth="1"/>
    <col min="12299" max="12301" width="0" hidden="1" customWidth="1"/>
    <col min="12302" max="12302" width="15.85546875" bestFit="1" customWidth="1"/>
    <col min="12303" max="12303" width="16.140625" customWidth="1"/>
    <col min="12543" max="12543" width="82" bestFit="1" customWidth="1"/>
    <col min="12544" max="12544" width="14.5703125" customWidth="1"/>
    <col min="12545" max="12545" width="15.28515625" customWidth="1"/>
    <col min="12546" max="12546" width="14.140625" customWidth="1"/>
    <col min="12547" max="12547" width="12.42578125" bestFit="1" customWidth="1"/>
    <col min="12548" max="12548" width="11.7109375" bestFit="1" customWidth="1"/>
    <col min="12549" max="12549" width="13.28515625" customWidth="1"/>
    <col min="12550" max="12550" width="11.85546875" bestFit="1" customWidth="1"/>
    <col min="12551" max="12551" width="12.28515625" bestFit="1" customWidth="1"/>
    <col min="12552" max="12552" width="15.140625" customWidth="1"/>
    <col min="12553" max="12553" width="14.7109375" customWidth="1"/>
    <col min="12554" max="12554" width="12.85546875" bestFit="1" customWidth="1"/>
    <col min="12555" max="12557" width="0" hidden="1" customWidth="1"/>
    <col min="12558" max="12558" width="15.85546875" bestFit="1" customWidth="1"/>
    <col min="12559" max="12559" width="16.140625" customWidth="1"/>
    <col min="12799" max="12799" width="82" bestFit="1" customWidth="1"/>
    <col min="12800" max="12800" width="14.5703125" customWidth="1"/>
    <col min="12801" max="12801" width="15.28515625" customWidth="1"/>
    <col min="12802" max="12802" width="14.140625" customWidth="1"/>
    <col min="12803" max="12803" width="12.42578125" bestFit="1" customWidth="1"/>
    <col min="12804" max="12804" width="11.7109375" bestFit="1" customWidth="1"/>
    <col min="12805" max="12805" width="13.28515625" customWidth="1"/>
    <col min="12806" max="12806" width="11.85546875" bestFit="1" customWidth="1"/>
    <col min="12807" max="12807" width="12.28515625" bestFit="1" customWidth="1"/>
    <col min="12808" max="12808" width="15.140625" customWidth="1"/>
    <col min="12809" max="12809" width="14.7109375" customWidth="1"/>
    <col min="12810" max="12810" width="12.85546875" bestFit="1" customWidth="1"/>
    <col min="12811" max="12813" width="0" hidden="1" customWidth="1"/>
    <col min="12814" max="12814" width="15.85546875" bestFit="1" customWidth="1"/>
    <col min="12815" max="12815" width="16.140625" customWidth="1"/>
    <col min="13055" max="13055" width="82" bestFit="1" customWidth="1"/>
    <col min="13056" max="13056" width="14.5703125" customWidth="1"/>
    <col min="13057" max="13057" width="15.28515625" customWidth="1"/>
    <col min="13058" max="13058" width="14.140625" customWidth="1"/>
    <col min="13059" max="13059" width="12.42578125" bestFit="1" customWidth="1"/>
    <col min="13060" max="13060" width="11.7109375" bestFit="1" customWidth="1"/>
    <col min="13061" max="13061" width="13.28515625" customWidth="1"/>
    <col min="13062" max="13062" width="11.85546875" bestFit="1" customWidth="1"/>
    <col min="13063" max="13063" width="12.28515625" bestFit="1" customWidth="1"/>
    <col min="13064" max="13064" width="15.140625" customWidth="1"/>
    <col min="13065" max="13065" width="14.7109375" customWidth="1"/>
    <col min="13066" max="13066" width="12.85546875" bestFit="1" customWidth="1"/>
    <col min="13067" max="13069" width="0" hidden="1" customWidth="1"/>
    <col min="13070" max="13070" width="15.85546875" bestFit="1" customWidth="1"/>
    <col min="13071" max="13071" width="16.140625" customWidth="1"/>
    <col min="13311" max="13311" width="82" bestFit="1" customWidth="1"/>
    <col min="13312" max="13312" width="14.5703125" customWidth="1"/>
    <col min="13313" max="13313" width="15.28515625" customWidth="1"/>
    <col min="13314" max="13314" width="14.140625" customWidth="1"/>
    <col min="13315" max="13315" width="12.42578125" bestFit="1" customWidth="1"/>
    <col min="13316" max="13316" width="11.7109375" bestFit="1" customWidth="1"/>
    <col min="13317" max="13317" width="13.28515625" customWidth="1"/>
    <col min="13318" max="13318" width="11.85546875" bestFit="1" customWidth="1"/>
    <col min="13319" max="13319" width="12.28515625" bestFit="1" customWidth="1"/>
    <col min="13320" max="13320" width="15.140625" customWidth="1"/>
    <col min="13321" max="13321" width="14.7109375" customWidth="1"/>
    <col min="13322" max="13322" width="12.85546875" bestFit="1" customWidth="1"/>
    <col min="13323" max="13325" width="0" hidden="1" customWidth="1"/>
    <col min="13326" max="13326" width="15.85546875" bestFit="1" customWidth="1"/>
    <col min="13327" max="13327" width="16.140625" customWidth="1"/>
    <col min="13567" max="13567" width="82" bestFit="1" customWidth="1"/>
    <col min="13568" max="13568" width="14.5703125" customWidth="1"/>
    <col min="13569" max="13569" width="15.28515625" customWidth="1"/>
    <col min="13570" max="13570" width="14.140625" customWidth="1"/>
    <col min="13571" max="13571" width="12.42578125" bestFit="1" customWidth="1"/>
    <col min="13572" max="13572" width="11.7109375" bestFit="1" customWidth="1"/>
    <col min="13573" max="13573" width="13.28515625" customWidth="1"/>
    <col min="13574" max="13574" width="11.85546875" bestFit="1" customWidth="1"/>
    <col min="13575" max="13575" width="12.28515625" bestFit="1" customWidth="1"/>
    <col min="13576" max="13576" width="15.140625" customWidth="1"/>
    <col min="13577" max="13577" width="14.7109375" customWidth="1"/>
    <col min="13578" max="13578" width="12.85546875" bestFit="1" customWidth="1"/>
    <col min="13579" max="13581" width="0" hidden="1" customWidth="1"/>
    <col min="13582" max="13582" width="15.85546875" bestFit="1" customWidth="1"/>
    <col min="13583" max="13583" width="16.140625" customWidth="1"/>
    <col min="13823" max="13823" width="82" bestFit="1" customWidth="1"/>
    <col min="13824" max="13824" width="14.5703125" customWidth="1"/>
    <col min="13825" max="13825" width="15.28515625" customWidth="1"/>
    <col min="13826" max="13826" width="14.140625" customWidth="1"/>
    <col min="13827" max="13827" width="12.42578125" bestFit="1" customWidth="1"/>
    <col min="13828" max="13828" width="11.7109375" bestFit="1" customWidth="1"/>
    <col min="13829" max="13829" width="13.28515625" customWidth="1"/>
    <col min="13830" max="13830" width="11.85546875" bestFit="1" customWidth="1"/>
    <col min="13831" max="13831" width="12.28515625" bestFit="1" customWidth="1"/>
    <col min="13832" max="13832" width="15.140625" customWidth="1"/>
    <col min="13833" max="13833" width="14.7109375" customWidth="1"/>
    <col min="13834" max="13834" width="12.85546875" bestFit="1" customWidth="1"/>
    <col min="13835" max="13837" width="0" hidden="1" customWidth="1"/>
    <col min="13838" max="13838" width="15.85546875" bestFit="1" customWidth="1"/>
    <col min="13839" max="13839" width="16.140625" customWidth="1"/>
    <col min="14079" max="14079" width="82" bestFit="1" customWidth="1"/>
    <col min="14080" max="14080" width="14.5703125" customWidth="1"/>
    <col min="14081" max="14081" width="15.28515625" customWidth="1"/>
    <col min="14082" max="14082" width="14.140625" customWidth="1"/>
    <col min="14083" max="14083" width="12.42578125" bestFit="1" customWidth="1"/>
    <col min="14084" max="14084" width="11.7109375" bestFit="1" customWidth="1"/>
    <col min="14085" max="14085" width="13.28515625" customWidth="1"/>
    <col min="14086" max="14086" width="11.85546875" bestFit="1" customWidth="1"/>
    <col min="14087" max="14087" width="12.28515625" bestFit="1" customWidth="1"/>
    <col min="14088" max="14088" width="15.140625" customWidth="1"/>
    <col min="14089" max="14089" width="14.7109375" customWidth="1"/>
    <col min="14090" max="14090" width="12.85546875" bestFit="1" customWidth="1"/>
    <col min="14091" max="14093" width="0" hidden="1" customWidth="1"/>
    <col min="14094" max="14094" width="15.85546875" bestFit="1" customWidth="1"/>
    <col min="14095" max="14095" width="16.140625" customWidth="1"/>
    <col min="14335" max="14335" width="82" bestFit="1" customWidth="1"/>
    <col min="14336" max="14336" width="14.5703125" customWidth="1"/>
    <col min="14337" max="14337" width="15.28515625" customWidth="1"/>
    <col min="14338" max="14338" width="14.140625" customWidth="1"/>
    <col min="14339" max="14339" width="12.42578125" bestFit="1" customWidth="1"/>
    <col min="14340" max="14340" width="11.7109375" bestFit="1" customWidth="1"/>
    <col min="14341" max="14341" width="13.28515625" customWidth="1"/>
    <col min="14342" max="14342" width="11.85546875" bestFit="1" customWidth="1"/>
    <col min="14343" max="14343" width="12.28515625" bestFit="1" customWidth="1"/>
    <col min="14344" max="14344" width="15.140625" customWidth="1"/>
    <col min="14345" max="14345" width="14.7109375" customWidth="1"/>
    <col min="14346" max="14346" width="12.85546875" bestFit="1" customWidth="1"/>
    <col min="14347" max="14349" width="0" hidden="1" customWidth="1"/>
    <col min="14350" max="14350" width="15.85546875" bestFit="1" customWidth="1"/>
    <col min="14351" max="14351" width="16.140625" customWidth="1"/>
    <col min="14591" max="14591" width="82" bestFit="1" customWidth="1"/>
    <col min="14592" max="14592" width="14.5703125" customWidth="1"/>
    <col min="14593" max="14593" width="15.28515625" customWidth="1"/>
    <col min="14594" max="14594" width="14.140625" customWidth="1"/>
    <col min="14595" max="14595" width="12.42578125" bestFit="1" customWidth="1"/>
    <col min="14596" max="14596" width="11.7109375" bestFit="1" customWidth="1"/>
    <col min="14597" max="14597" width="13.28515625" customWidth="1"/>
    <col min="14598" max="14598" width="11.85546875" bestFit="1" customWidth="1"/>
    <col min="14599" max="14599" width="12.28515625" bestFit="1" customWidth="1"/>
    <col min="14600" max="14600" width="15.140625" customWidth="1"/>
    <col min="14601" max="14601" width="14.7109375" customWidth="1"/>
    <col min="14602" max="14602" width="12.85546875" bestFit="1" customWidth="1"/>
    <col min="14603" max="14605" width="0" hidden="1" customWidth="1"/>
    <col min="14606" max="14606" width="15.85546875" bestFit="1" customWidth="1"/>
    <col min="14607" max="14607" width="16.140625" customWidth="1"/>
    <col min="14847" max="14847" width="82" bestFit="1" customWidth="1"/>
    <col min="14848" max="14848" width="14.5703125" customWidth="1"/>
    <col min="14849" max="14849" width="15.28515625" customWidth="1"/>
    <col min="14850" max="14850" width="14.140625" customWidth="1"/>
    <col min="14851" max="14851" width="12.42578125" bestFit="1" customWidth="1"/>
    <col min="14852" max="14852" width="11.7109375" bestFit="1" customWidth="1"/>
    <col min="14853" max="14853" width="13.28515625" customWidth="1"/>
    <col min="14854" max="14854" width="11.85546875" bestFit="1" customWidth="1"/>
    <col min="14855" max="14855" width="12.28515625" bestFit="1" customWidth="1"/>
    <col min="14856" max="14856" width="15.140625" customWidth="1"/>
    <col min="14857" max="14857" width="14.7109375" customWidth="1"/>
    <col min="14858" max="14858" width="12.85546875" bestFit="1" customWidth="1"/>
    <col min="14859" max="14861" width="0" hidden="1" customWidth="1"/>
    <col min="14862" max="14862" width="15.85546875" bestFit="1" customWidth="1"/>
    <col min="14863" max="14863" width="16.140625" customWidth="1"/>
    <col min="15103" max="15103" width="82" bestFit="1" customWidth="1"/>
    <col min="15104" max="15104" width="14.5703125" customWidth="1"/>
    <col min="15105" max="15105" width="15.28515625" customWidth="1"/>
    <col min="15106" max="15106" width="14.140625" customWidth="1"/>
    <col min="15107" max="15107" width="12.42578125" bestFit="1" customWidth="1"/>
    <col min="15108" max="15108" width="11.7109375" bestFit="1" customWidth="1"/>
    <col min="15109" max="15109" width="13.28515625" customWidth="1"/>
    <col min="15110" max="15110" width="11.85546875" bestFit="1" customWidth="1"/>
    <col min="15111" max="15111" width="12.28515625" bestFit="1" customWidth="1"/>
    <col min="15112" max="15112" width="15.140625" customWidth="1"/>
    <col min="15113" max="15113" width="14.7109375" customWidth="1"/>
    <col min="15114" max="15114" width="12.85546875" bestFit="1" customWidth="1"/>
    <col min="15115" max="15117" width="0" hidden="1" customWidth="1"/>
    <col min="15118" max="15118" width="15.85546875" bestFit="1" customWidth="1"/>
    <col min="15119" max="15119" width="16.140625" customWidth="1"/>
    <col min="15359" max="15359" width="82" bestFit="1" customWidth="1"/>
    <col min="15360" max="15360" width="14.5703125" customWidth="1"/>
    <col min="15361" max="15361" width="15.28515625" customWidth="1"/>
    <col min="15362" max="15362" width="14.140625" customWidth="1"/>
    <col min="15363" max="15363" width="12.42578125" bestFit="1" customWidth="1"/>
    <col min="15364" max="15364" width="11.7109375" bestFit="1" customWidth="1"/>
    <col min="15365" max="15365" width="13.28515625" customWidth="1"/>
    <col min="15366" max="15366" width="11.85546875" bestFit="1" customWidth="1"/>
    <col min="15367" max="15367" width="12.28515625" bestFit="1" customWidth="1"/>
    <col min="15368" max="15368" width="15.140625" customWidth="1"/>
    <col min="15369" max="15369" width="14.7109375" customWidth="1"/>
    <col min="15370" max="15370" width="12.85546875" bestFit="1" customWidth="1"/>
    <col min="15371" max="15373" width="0" hidden="1" customWidth="1"/>
    <col min="15374" max="15374" width="15.85546875" bestFit="1" customWidth="1"/>
    <col min="15375" max="15375" width="16.140625" customWidth="1"/>
    <col min="15615" max="15615" width="82" bestFit="1" customWidth="1"/>
    <col min="15616" max="15616" width="14.5703125" customWidth="1"/>
    <col min="15617" max="15617" width="15.28515625" customWidth="1"/>
    <col min="15618" max="15618" width="14.140625" customWidth="1"/>
    <col min="15619" max="15619" width="12.42578125" bestFit="1" customWidth="1"/>
    <col min="15620" max="15620" width="11.7109375" bestFit="1" customWidth="1"/>
    <col min="15621" max="15621" width="13.28515625" customWidth="1"/>
    <col min="15622" max="15622" width="11.85546875" bestFit="1" customWidth="1"/>
    <col min="15623" max="15623" width="12.28515625" bestFit="1" customWidth="1"/>
    <col min="15624" max="15624" width="15.140625" customWidth="1"/>
    <col min="15625" max="15625" width="14.7109375" customWidth="1"/>
    <col min="15626" max="15626" width="12.85546875" bestFit="1" customWidth="1"/>
    <col min="15627" max="15629" width="0" hidden="1" customWidth="1"/>
    <col min="15630" max="15630" width="15.85546875" bestFit="1" customWidth="1"/>
    <col min="15631" max="15631" width="16.140625" customWidth="1"/>
    <col min="15871" max="15871" width="82" bestFit="1" customWidth="1"/>
    <col min="15872" max="15872" width="14.5703125" customWidth="1"/>
    <col min="15873" max="15873" width="15.28515625" customWidth="1"/>
    <col min="15874" max="15874" width="14.140625" customWidth="1"/>
    <col min="15875" max="15875" width="12.42578125" bestFit="1" customWidth="1"/>
    <col min="15876" max="15876" width="11.7109375" bestFit="1" customWidth="1"/>
    <col min="15877" max="15877" width="13.28515625" customWidth="1"/>
    <col min="15878" max="15878" width="11.85546875" bestFit="1" customWidth="1"/>
    <col min="15879" max="15879" width="12.28515625" bestFit="1" customWidth="1"/>
    <col min="15880" max="15880" width="15.140625" customWidth="1"/>
    <col min="15881" max="15881" width="14.7109375" customWidth="1"/>
    <col min="15882" max="15882" width="12.85546875" bestFit="1" customWidth="1"/>
    <col min="15883" max="15885" width="0" hidden="1" customWidth="1"/>
    <col min="15886" max="15886" width="15.85546875" bestFit="1" customWidth="1"/>
    <col min="15887" max="15887" width="16.140625" customWidth="1"/>
    <col min="16127" max="16127" width="82" bestFit="1" customWidth="1"/>
    <col min="16128" max="16128" width="14.5703125" customWidth="1"/>
    <col min="16129" max="16129" width="15.28515625" customWidth="1"/>
    <col min="16130" max="16130" width="14.140625" customWidth="1"/>
    <col min="16131" max="16131" width="12.42578125" bestFit="1" customWidth="1"/>
    <col min="16132" max="16132" width="11.7109375" bestFit="1" customWidth="1"/>
    <col min="16133" max="16133" width="13.28515625" customWidth="1"/>
    <col min="16134" max="16134" width="11.85546875" bestFit="1" customWidth="1"/>
    <col min="16135" max="16135" width="12.28515625" bestFit="1" customWidth="1"/>
    <col min="16136" max="16136" width="15.140625" customWidth="1"/>
    <col min="16137" max="16137" width="14.7109375" customWidth="1"/>
    <col min="16138" max="16138" width="12.85546875" bestFit="1" customWidth="1"/>
    <col min="16139" max="16141" width="0" hidden="1" customWidth="1"/>
    <col min="16142" max="16142" width="15.85546875" bestFit="1" customWidth="1"/>
    <col min="16143" max="16143" width="16.140625" customWidth="1"/>
  </cols>
  <sheetData>
    <row r="1" spans="1:18" ht="15.75">
      <c r="A1" s="15" t="s">
        <v>0</v>
      </c>
      <c r="B1" s="308"/>
      <c r="C1" s="308"/>
      <c r="D1" s="308"/>
      <c r="E1" s="308"/>
      <c r="F1" s="308"/>
      <c r="G1" s="308"/>
      <c r="H1" s="308"/>
      <c r="I1" s="16" t="s">
        <v>1</v>
      </c>
      <c r="J1" s="17">
        <f ca="1">NOW()</f>
        <v>44273.404664467591</v>
      </c>
      <c r="K1" s="308"/>
      <c r="L1" s="308"/>
      <c r="M1" s="308"/>
      <c r="N1" s="308"/>
      <c r="O1" s="308"/>
      <c r="P1" s="308"/>
      <c r="Q1" s="308"/>
      <c r="R1" s="308"/>
    </row>
    <row r="2" spans="1:18" ht="15.75">
      <c r="A2" s="15" t="s">
        <v>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</row>
    <row r="4" spans="1:18" ht="5.25" customHeight="1">
      <c r="A4" s="18"/>
      <c r="B4" s="307"/>
      <c r="C4" s="307"/>
      <c r="D4" s="307"/>
      <c r="E4" s="19"/>
      <c r="F4" s="19"/>
      <c r="G4" s="19"/>
      <c r="H4" s="19"/>
      <c r="I4" s="19"/>
      <c r="J4" s="19"/>
      <c r="K4" s="20"/>
      <c r="L4" s="20"/>
      <c r="M4" s="20"/>
      <c r="N4" s="20"/>
      <c r="O4" s="308"/>
      <c r="P4" s="308"/>
      <c r="Q4" s="308"/>
      <c r="R4" s="308"/>
    </row>
    <row r="5" spans="1:18" ht="49.5" customHeight="1" thickBot="1">
      <c r="A5" s="21" t="s">
        <v>3</v>
      </c>
      <c r="B5" s="22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22" t="s">
        <v>11</v>
      </c>
      <c r="J5" s="23" t="s">
        <v>12</v>
      </c>
      <c r="K5" s="23"/>
      <c r="L5" s="23" t="s">
        <v>13</v>
      </c>
      <c r="M5" s="24"/>
      <c r="N5" s="24"/>
      <c r="O5" s="308"/>
      <c r="P5" s="308"/>
      <c r="Q5" s="308"/>
      <c r="R5" s="308"/>
    </row>
    <row r="6" spans="1:18" s="29" customFormat="1" ht="15">
      <c r="A6" s="25" t="s">
        <v>14</v>
      </c>
      <c r="B6" s="26">
        <f>+'DO Labor 22'!L6</f>
        <v>564805.21706468402</v>
      </c>
      <c r="C6" s="26">
        <f>+'DO Labor 22'!D6</f>
        <v>554478.97925730201</v>
      </c>
      <c r="D6" s="26">
        <f>+'DO Labor 22'!E6</f>
        <v>882296.62879583472</v>
      </c>
      <c r="E6" s="26">
        <f>+'DO Labor 22'!F6+'DO Labor 22'!M6</f>
        <v>2828481.1482990105</v>
      </c>
      <c r="F6" s="26">
        <f>+'DO Labor 22'!G6-123170</f>
        <v>5183506.8502419908</v>
      </c>
      <c r="G6" s="26">
        <f>+'DO Labor 22'!H6</f>
        <v>3273854.0270456919</v>
      </c>
      <c r="H6" s="26">
        <f>+'DO Labor 22'!I6</f>
        <v>438987.54515081097</v>
      </c>
      <c r="I6" s="26">
        <f>+'DO Labor 22'!K6</f>
        <v>643800.44814955862</v>
      </c>
      <c r="J6" s="27">
        <f>SUM(B6:I6)</f>
        <v>14370210.844004882</v>
      </c>
      <c r="K6" s="27"/>
      <c r="L6" s="27">
        <f>+J6-K6</f>
        <v>14370210.844004882</v>
      </c>
      <c r="M6" s="27" t="e">
        <f>+GETPIVOTDATA("Total Compensation by FOAPAL",#REF!)</f>
        <v>#REF!</v>
      </c>
      <c r="N6" s="28"/>
    </row>
    <row r="7" spans="1:18" ht="15">
      <c r="A7" s="30"/>
      <c r="B7" s="307"/>
      <c r="C7" s="307"/>
      <c r="D7" s="307"/>
      <c r="E7" s="19"/>
      <c r="F7" s="19"/>
      <c r="G7" s="19"/>
      <c r="H7" s="19"/>
      <c r="I7" s="19"/>
      <c r="J7" s="19"/>
      <c r="K7" s="19"/>
      <c r="L7" s="19">
        <f>+J7-K7</f>
        <v>0</v>
      </c>
      <c r="M7" s="20"/>
      <c r="N7" s="20"/>
      <c r="O7" s="308"/>
      <c r="P7" s="308"/>
      <c r="Q7" s="308"/>
      <c r="R7" s="308"/>
    </row>
    <row r="8" spans="1:18" ht="15">
      <c r="A8" s="31" t="s">
        <v>15</v>
      </c>
      <c r="B8" s="307">
        <v>607821</v>
      </c>
      <c r="C8" s="307">
        <v>548099</v>
      </c>
      <c r="D8" s="307">
        <v>807571</v>
      </c>
      <c r="E8" s="307">
        <v>2737383</v>
      </c>
      <c r="F8" s="307">
        <v>5084469</v>
      </c>
      <c r="G8" s="307">
        <v>3166719</v>
      </c>
      <c r="H8" s="307">
        <v>432931</v>
      </c>
      <c r="I8" s="307">
        <v>638232</v>
      </c>
      <c r="J8" s="19">
        <f>SUM(B8:I8)</f>
        <v>14023225</v>
      </c>
      <c r="K8" s="19"/>
      <c r="L8" s="19">
        <f>+J8-K8</f>
        <v>14023225</v>
      </c>
      <c r="M8" s="19">
        <v>12739527</v>
      </c>
      <c r="N8" s="14"/>
      <c r="O8" s="32"/>
      <c r="P8" s="308"/>
      <c r="Q8" s="308"/>
      <c r="R8" s="308"/>
    </row>
    <row r="9" spans="1:18" s="13" customFormat="1" ht="15.75" thickBot="1">
      <c r="A9" s="33" t="s">
        <v>16</v>
      </c>
      <c r="B9" s="34">
        <f>+B6-B8</f>
        <v>-43015.782935315976</v>
      </c>
      <c r="C9" s="34">
        <f t="shared" ref="C9:L9" si="0">+C6-C8</f>
        <v>6379.9792573020095</v>
      </c>
      <c r="D9" s="34">
        <f t="shared" si="0"/>
        <v>74725.628795834724</v>
      </c>
      <c r="E9" s="34">
        <f t="shared" si="0"/>
        <v>91098.148299010471</v>
      </c>
      <c r="F9" s="34">
        <f t="shared" si="0"/>
        <v>99037.85024199076</v>
      </c>
      <c r="G9" s="34">
        <f t="shared" si="0"/>
        <v>107135.02704569185</v>
      </c>
      <c r="H9" s="34">
        <f t="shared" si="0"/>
        <v>6056.5451508109691</v>
      </c>
      <c r="I9" s="34">
        <f t="shared" si="0"/>
        <v>5568.4481495586224</v>
      </c>
      <c r="J9" s="34">
        <f t="shared" si="0"/>
        <v>346985.8440048825</v>
      </c>
      <c r="K9" s="34">
        <f t="shared" si="0"/>
        <v>0</v>
      </c>
      <c r="L9" s="34">
        <f t="shared" si="0"/>
        <v>346985.8440048825</v>
      </c>
      <c r="M9" s="35"/>
      <c r="N9" s="36"/>
    </row>
    <row r="10" spans="1:18" ht="14.25">
      <c r="A10" s="20"/>
      <c r="B10" s="307"/>
      <c r="C10" s="307"/>
      <c r="D10" s="307"/>
      <c r="E10" s="19"/>
      <c r="F10" s="19"/>
      <c r="G10" s="19"/>
      <c r="H10" s="19"/>
      <c r="I10" s="19"/>
      <c r="J10" s="19"/>
      <c r="K10" s="19"/>
      <c r="L10" s="19"/>
      <c r="M10" s="20"/>
      <c r="N10" s="20"/>
      <c r="O10" s="308"/>
      <c r="P10" s="308"/>
      <c r="Q10" s="308"/>
      <c r="R10" s="308"/>
    </row>
    <row r="11" spans="1:18" ht="15.75" thickBot="1">
      <c r="A11" s="37" t="s">
        <v>17</v>
      </c>
      <c r="B11" s="307"/>
      <c r="C11" s="307"/>
      <c r="D11" s="307"/>
      <c r="E11" s="19"/>
      <c r="F11" s="19"/>
      <c r="G11" s="19"/>
      <c r="H11" s="19"/>
      <c r="I11" s="19"/>
      <c r="J11" s="19"/>
      <c r="K11" s="19"/>
      <c r="L11" s="19"/>
      <c r="M11" s="20"/>
      <c r="N11" s="20"/>
      <c r="O11" s="308"/>
      <c r="P11" s="308"/>
      <c r="Q11" s="308"/>
      <c r="R11" s="308"/>
    </row>
    <row r="12" spans="1:18" ht="15">
      <c r="A12" s="38" t="s">
        <v>18</v>
      </c>
      <c r="B12" s="19">
        <f t="shared" ref="B12:I12" si="1">+B9-B13-B14-B15-B16-B17-B18-SUM(B22:B41)</f>
        <v>-36436.64722103026</v>
      </c>
      <c r="C12" s="19">
        <f t="shared" si="1"/>
        <v>-215.76751135515224</v>
      </c>
      <c r="D12" s="19">
        <f t="shared" si="1"/>
        <v>65712.525535420413</v>
      </c>
      <c r="E12" s="19">
        <f t="shared" si="1"/>
        <v>-17794.246732695043</v>
      </c>
      <c r="F12" s="19">
        <f t="shared" si="1"/>
        <v>49289.686354390928</v>
      </c>
      <c r="G12" s="19">
        <f t="shared" si="1"/>
        <v>19077.748062793151</v>
      </c>
      <c r="H12" s="19">
        <f t="shared" si="1"/>
        <v>5019.1808393823885</v>
      </c>
      <c r="I12" s="19">
        <f t="shared" si="1"/>
        <v>3976.3820395586226</v>
      </c>
      <c r="J12" s="19">
        <f>SUM(B12:I12)</f>
        <v>88628.861366465047</v>
      </c>
      <c r="K12" s="19"/>
      <c r="L12" s="19"/>
      <c r="M12" s="20"/>
      <c r="N12" s="39"/>
      <c r="O12" s="308"/>
      <c r="P12" s="308"/>
      <c r="Q12" s="308"/>
      <c r="R12" s="308"/>
    </row>
    <row r="13" spans="1:18" ht="15">
      <c r="A13" s="89" t="s">
        <v>19</v>
      </c>
      <c r="B13" s="40">
        <f>'Health Benefit Change'!D13</f>
        <v>495.86428571428405</v>
      </c>
      <c r="C13" s="40">
        <f>'Health Benefit Change'!D5</f>
        <v>247.93214285714203</v>
      </c>
      <c r="D13" s="40">
        <f>'Health Benefit Change'!D6</f>
        <v>278.92366071429569</v>
      </c>
      <c r="E13" s="40">
        <f>+'Health Benefit Change'!D7+'Health Benefit Change'!D14</f>
        <v>1410.1140624999898</v>
      </c>
      <c r="F13" s="40">
        <f>'Health Benefit Change'!D8</f>
        <v>2169.40625</v>
      </c>
      <c r="G13" s="40">
        <f>'Health Benefit Change'!D9</f>
        <v>1524.8737276786123</v>
      </c>
      <c r="H13" s="40">
        <f>'Health Benefit Change'!D10</f>
        <v>123.96607142857101</v>
      </c>
      <c r="I13" s="40">
        <f>'Health Benefit Change'!D12</f>
        <v>433.88125000000582</v>
      </c>
      <c r="J13" s="19">
        <f t="shared" ref="J13:J18" si="2">SUM(B13:I13)</f>
        <v>6684.9614508929008</v>
      </c>
      <c r="K13" s="19"/>
      <c r="L13" s="19"/>
      <c r="M13" s="20"/>
      <c r="N13" s="20"/>
      <c r="O13" s="308"/>
      <c r="P13" s="308"/>
      <c r="Q13" s="308"/>
      <c r="R13" s="308"/>
    </row>
    <row r="14" spans="1:18" ht="15">
      <c r="A14" s="89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19">
        <f t="shared" si="2"/>
        <v>0</v>
      </c>
      <c r="K14" s="19"/>
      <c r="L14" s="19"/>
      <c r="M14" s="20"/>
      <c r="N14" s="20"/>
      <c r="O14" s="308"/>
      <c r="P14" s="308"/>
      <c r="Q14" s="308"/>
      <c r="R14" s="308"/>
    </row>
    <row r="15" spans="1:18" ht="15">
      <c r="A15" s="89"/>
      <c r="B15" s="40"/>
      <c r="C15" s="40"/>
      <c r="D15" s="40"/>
      <c r="E15" s="40"/>
      <c r="F15" s="40"/>
      <c r="G15" s="40"/>
      <c r="H15" s="40"/>
      <c r="I15" s="40"/>
      <c r="J15" s="19">
        <f t="shared" si="2"/>
        <v>0</v>
      </c>
      <c r="K15" s="19"/>
      <c r="L15" s="19"/>
      <c r="M15" s="20"/>
      <c r="N15" s="20"/>
      <c r="O15" s="308"/>
      <c r="P15" s="308"/>
      <c r="Q15" s="308"/>
      <c r="R15" s="32"/>
    </row>
    <row r="16" spans="1:18" ht="15">
      <c r="A16" s="43" t="s">
        <v>20</v>
      </c>
      <c r="B16" s="40"/>
      <c r="C16" s="42"/>
      <c r="D16" s="40">
        <f>+GU001_STRS_PERS_PT!C9</f>
        <v>-4848.227640000001</v>
      </c>
      <c r="E16" s="40"/>
      <c r="F16" s="40"/>
      <c r="G16" s="40">
        <f>+GU001_STRS_PERS_PT!F9</f>
        <v>249.72882922000281</v>
      </c>
      <c r="H16" s="40"/>
      <c r="I16" s="40"/>
      <c r="J16" s="19">
        <f t="shared" si="2"/>
        <v>-4598.4988107799982</v>
      </c>
      <c r="K16" s="19"/>
      <c r="L16" s="19"/>
      <c r="M16" s="20"/>
      <c r="N16" s="20"/>
      <c r="O16" s="308"/>
      <c r="P16" s="308"/>
      <c r="Q16" s="308"/>
      <c r="R16" s="32"/>
    </row>
    <row r="17" spans="1:18" ht="15">
      <c r="A17" s="43" t="s">
        <v>21</v>
      </c>
      <c r="B17" s="40">
        <f>GU001_STRS_PERS_PT!J8</f>
        <v>-7075</v>
      </c>
      <c r="C17" s="40">
        <f>GU001_STRS_PERS_PT!B8</f>
        <v>6347.8146258000197</v>
      </c>
      <c r="D17" s="40">
        <f>+GU001_STRS_PERS_PT!C8</f>
        <v>13582.407239700013</v>
      </c>
      <c r="E17" s="40">
        <f>+GU001_STRS_PERS_PT!D8++GU001_STRS_PERS_PT!K8</f>
        <v>-20989.551146999976</v>
      </c>
      <c r="F17" s="40">
        <f>GU001_STRS_PERS_PT!E8</f>
        <v>47578.757637599832</v>
      </c>
      <c r="G17" s="40">
        <f>+GU001_STRS_PERS_PT!F8</f>
        <v>846.75642600009451</v>
      </c>
      <c r="H17" s="40">
        <f>+GU001_STRS_PERS_PT!G8</f>
        <v>913.39824000000954</v>
      </c>
      <c r="I17" s="40">
        <f>+GU001_STRS_PERS_PT!I8</f>
        <v>1158.1848599999939</v>
      </c>
      <c r="J17" s="19">
        <f t="shared" si="2"/>
        <v>42362.767882099986</v>
      </c>
      <c r="K17" s="19"/>
      <c r="L17" s="19"/>
      <c r="M17" s="20"/>
      <c r="N17" s="20"/>
      <c r="O17" s="308"/>
      <c r="P17" s="308"/>
      <c r="Q17" s="308"/>
      <c r="R17" s="32"/>
    </row>
    <row r="18" spans="1:18" s="29" customFormat="1" ht="15.75" thickBot="1">
      <c r="A18" s="43"/>
      <c r="B18" s="44"/>
      <c r="C18" s="44"/>
      <c r="D18" s="44"/>
      <c r="E18" s="44"/>
      <c r="F18" s="44"/>
      <c r="G18" s="44"/>
      <c r="H18" s="44"/>
      <c r="I18" s="44"/>
      <c r="J18" s="19">
        <f t="shared" si="2"/>
        <v>0</v>
      </c>
      <c r="K18" s="45"/>
      <c r="L18" s="27"/>
      <c r="M18" s="28"/>
      <c r="N18" s="28"/>
      <c r="R18" s="46"/>
    </row>
    <row r="19" spans="1:18" s="13" customFormat="1" ht="15.75" thickBot="1">
      <c r="A19" s="47" t="s">
        <v>22</v>
      </c>
      <c r="B19" s="48">
        <f t="shared" ref="B19:J19" si="3">SUM(B12:B18)</f>
        <v>-43015.782935315976</v>
      </c>
      <c r="C19" s="48">
        <f t="shared" si="3"/>
        <v>6379.9792573020095</v>
      </c>
      <c r="D19" s="48">
        <f t="shared" si="3"/>
        <v>74725.628795834724</v>
      </c>
      <c r="E19" s="48">
        <f t="shared" si="3"/>
        <v>-37373.683817195029</v>
      </c>
      <c r="F19" s="48">
        <f t="shared" si="3"/>
        <v>99037.85024199076</v>
      </c>
      <c r="G19" s="48">
        <f t="shared" si="3"/>
        <v>21699.107045691861</v>
      </c>
      <c r="H19" s="48">
        <f t="shared" si="3"/>
        <v>6056.5451508109691</v>
      </c>
      <c r="I19" s="48">
        <f t="shared" si="3"/>
        <v>5568.4481495586224</v>
      </c>
      <c r="J19" s="48">
        <f t="shared" si="3"/>
        <v>133078.09188867794</v>
      </c>
      <c r="K19" s="49">
        <f>SUM(K13:K18)</f>
        <v>0</v>
      </c>
      <c r="L19" s="49">
        <f>SUM(L13:L18)</f>
        <v>0</v>
      </c>
      <c r="M19" s="49">
        <f>SUM(M13:M18)</f>
        <v>0</v>
      </c>
      <c r="N19" s="31"/>
      <c r="R19" s="50"/>
    </row>
    <row r="20" spans="1:18" ht="15">
      <c r="A20" s="41"/>
      <c r="B20" s="307"/>
      <c r="C20" s="307"/>
      <c r="D20" s="307"/>
      <c r="E20" s="307"/>
      <c r="F20" s="19"/>
      <c r="G20" s="19"/>
      <c r="H20" s="19"/>
      <c r="I20" s="19"/>
      <c r="J20" s="51"/>
      <c r="K20" s="51"/>
      <c r="L20" s="19"/>
      <c r="M20" s="52"/>
      <c r="N20" s="52"/>
      <c r="O20" s="308"/>
      <c r="P20" s="308"/>
      <c r="Q20" s="308"/>
      <c r="R20" s="308"/>
    </row>
    <row r="21" spans="1:18" ht="15">
      <c r="A21" s="53" t="s">
        <v>23</v>
      </c>
      <c r="B21" s="307"/>
      <c r="C21" s="307"/>
      <c r="D21" s="307"/>
      <c r="E21" s="19"/>
      <c r="F21" s="19"/>
      <c r="G21" s="27"/>
      <c r="H21" s="19"/>
      <c r="I21" s="19"/>
      <c r="J21" s="51"/>
      <c r="K21" s="51"/>
      <c r="L21" s="19"/>
      <c r="M21" s="20"/>
      <c r="N21" s="20"/>
      <c r="O21" s="20"/>
      <c r="P21" s="308"/>
      <c r="Q21" s="308"/>
      <c r="R21" s="308"/>
    </row>
    <row r="22" spans="1:18" ht="14.25">
      <c r="A22" s="290" t="s">
        <v>24</v>
      </c>
      <c r="B22" s="307"/>
      <c r="C22" s="307"/>
      <c r="D22" s="307"/>
      <c r="E22" s="27">
        <v>128471.83211620551</v>
      </c>
      <c r="F22" s="19"/>
      <c r="G22" s="27"/>
      <c r="H22" s="19"/>
      <c r="I22" s="19"/>
      <c r="J22" s="51">
        <f>SUM(B22:I22)</f>
        <v>128471.83211620551</v>
      </c>
      <c r="K22" s="51"/>
      <c r="L22" s="19"/>
      <c r="M22" s="20"/>
      <c r="N22" s="20"/>
      <c r="O22" s="20"/>
      <c r="P22" s="308"/>
      <c r="Q22" s="308"/>
      <c r="R22" s="308"/>
    </row>
    <row r="23" spans="1:18" ht="14.25">
      <c r="A23" s="177" t="s">
        <v>25</v>
      </c>
      <c r="B23" s="307"/>
      <c r="C23" s="307"/>
      <c r="D23" s="307"/>
      <c r="E23" s="19"/>
      <c r="F23" s="54"/>
      <c r="G23" s="19">
        <v>85435.92</v>
      </c>
      <c r="H23" s="19"/>
      <c r="I23" s="19"/>
      <c r="J23" s="51">
        <f t="shared" ref="J23:J41" si="4">SUM(B23:I23)</f>
        <v>85435.92</v>
      </c>
      <c r="K23" s="51"/>
      <c r="L23" s="19"/>
      <c r="M23" s="39"/>
      <c r="N23" s="20"/>
      <c r="O23" s="39"/>
      <c r="P23" s="308"/>
      <c r="Q23" s="308"/>
      <c r="R23" s="308"/>
    </row>
    <row r="24" spans="1:18" s="308" customFormat="1" ht="14.25">
      <c r="A24" s="177" t="s">
        <v>26</v>
      </c>
      <c r="B24" s="307"/>
      <c r="C24" s="307"/>
      <c r="D24" s="307"/>
      <c r="F24" s="19">
        <f>+'21-22 DO_Labor_Tentative'!Y75</f>
        <v>123170.1566885255</v>
      </c>
      <c r="G24" s="19"/>
      <c r="H24" s="19"/>
      <c r="I24" s="19"/>
      <c r="J24" s="51">
        <f t="shared" si="4"/>
        <v>123170.1566885255</v>
      </c>
      <c r="K24" s="51"/>
      <c r="L24" s="19"/>
      <c r="M24" s="39"/>
      <c r="N24" s="20"/>
      <c r="O24" s="39"/>
    </row>
    <row r="25" spans="1:18" s="308" customFormat="1" ht="12.95" customHeight="1">
      <c r="A25" s="354" t="s">
        <v>27</v>
      </c>
      <c r="B25" s="307"/>
      <c r="C25" s="307"/>
      <c r="D25" s="307"/>
      <c r="E25" s="27"/>
      <c r="F25" s="54"/>
      <c r="G25" s="54"/>
      <c r="H25" s="19"/>
      <c r="I25" s="19"/>
      <c r="J25" s="51">
        <f t="shared" si="4"/>
        <v>0</v>
      </c>
      <c r="K25" s="51"/>
      <c r="L25" s="19"/>
      <c r="M25" s="20"/>
      <c r="N25" s="20"/>
      <c r="O25" s="20"/>
    </row>
    <row r="26" spans="1:18" ht="15">
      <c r="A26" s="92" t="s">
        <v>28</v>
      </c>
      <c r="B26" s="307"/>
      <c r="C26" s="307"/>
      <c r="D26" s="307"/>
      <c r="E26" s="19"/>
      <c r="F26" s="19"/>
      <c r="G26" s="19"/>
      <c r="H26" s="19"/>
      <c r="I26" s="27"/>
      <c r="J26" s="51">
        <f t="shared" si="4"/>
        <v>0</v>
      </c>
      <c r="K26" s="51"/>
      <c r="L26" s="19"/>
      <c r="M26" s="20"/>
      <c r="N26" s="20"/>
      <c r="O26" s="20"/>
      <c r="P26" s="308"/>
      <c r="Q26" s="308"/>
      <c r="R26" s="308"/>
    </row>
    <row r="27" spans="1:18" ht="12.95" customHeight="1">
      <c r="A27" s="349" t="s">
        <v>29</v>
      </c>
      <c r="B27" s="307"/>
      <c r="C27" s="307"/>
      <c r="D27" s="307"/>
      <c r="E27" s="19"/>
      <c r="F27" s="19"/>
      <c r="G27" s="19"/>
      <c r="H27" s="19"/>
      <c r="I27" s="27"/>
      <c r="J27" s="51">
        <f t="shared" si="4"/>
        <v>0</v>
      </c>
      <c r="K27" s="51"/>
      <c r="L27" s="19"/>
      <c r="M27" s="20"/>
      <c r="N27" s="20"/>
      <c r="O27" s="20"/>
      <c r="P27" s="308"/>
      <c r="Q27" s="308"/>
      <c r="R27" s="308"/>
    </row>
    <row r="28" spans="1:18" ht="12.95" customHeight="1">
      <c r="A28" s="370" t="s">
        <v>30</v>
      </c>
      <c r="B28" s="307"/>
      <c r="C28" s="307"/>
      <c r="D28" s="307"/>
      <c r="E28" s="308"/>
      <c r="F28" s="19">
        <f>-'21-22 DO_Labor_Tentative'!Y75</f>
        <v>-123170.1566885255</v>
      </c>
      <c r="G28" s="19"/>
      <c r="H28" s="19"/>
      <c r="I28" s="27"/>
      <c r="J28" s="51">
        <f t="shared" si="4"/>
        <v>-123170.1566885255</v>
      </c>
      <c r="K28" s="51"/>
      <c r="L28" s="19"/>
      <c r="M28" s="20"/>
      <c r="N28" s="20"/>
      <c r="O28" s="20"/>
      <c r="P28" s="308"/>
      <c r="Q28" s="308"/>
      <c r="R28" s="308"/>
    </row>
    <row r="29" spans="1:18" ht="15" hidden="1">
      <c r="A29" s="53" t="s">
        <v>31</v>
      </c>
      <c r="B29" s="307"/>
      <c r="C29" s="307"/>
      <c r="D29" s="307"/>
      <c r="E29" s="19"/>
      <c r="F29" s="19"/>
      <c r="G29" s="19"/>
      <c r="H29" s="19"/>
      <c r="I29" s="19"/>
      <c r="J29" s="51">
        <f t="shared" si="4"/>
        <v>0</v>
      </c>
      <c r="K29" s="51"/>
      <c r="L29" s="19"/>
      <c r="M29" s="20"/>
      <c r="N29" s="20"/>
      <c r="O29" s="20"/>
      <c r="P29" s="308"/>
      <c r="Q29" s="308"/>
      <c r="R29" s="308"/>
    </row>
    <row r="30" spans="1:18" ht="14.25" hidden="1">
      <c r="A30" s="55"/>
      <c r="B30" s="307"/>
      <c r="C30" s="307"/>
      <c r="D30" s="307"/>
      <c r="E30" s="19"/>
      <c r="F30" s="19"/>
      <c r="G30" s="19"/>
      <c r="H30" s="19"/>
      <c r="I30" s="19"/>
      <c r="J30" s="51">
        <f t="shared" si="4"/>
        <v>0</v>
      </c>
      <c r="K30" s="51"/>
      <c r="L30" s="19"/>
      <c r="M30" s="20"/>
      <c r="N30" s="20"/>
      <c r="O30" s="20"/>
      <c r="P30" s="308"/>
      <c r="Q30" s="308"/>
      <c r="R30" s="308"/>
    </row>
    <row r="31" spans="1:18" ht="14.25" hidden="1">
      <c r="A31" s="56"/>
      <c r="B31" s="307"/>
      <c r="C31" s="307"/>
      <c r="D31" s="307"/>
      <c r="E31" s="27"/>
      <c r="F31" s="19"/>
      <c r="G31" s="19"/>
      <c r="H31" s="19"/>
      <c r="I31" s="19"/>
      <c r="J31" s="51">
        <f t="shared" si="4"/>
        <v>0</v>
      </c>
      <c r="K31" s="51"/>
      <c r="L31" s="19"/>
      <c r="M31" s="20"/>
      <c r="N31" s="20"/>
      <c r="O31" s="20"/>
      <c r="P31" s="308"/>
      <c r="Q31" s="308"/>
      <c r="R31" s="308"/>
    </row>
    <row r="32" spans="1:18" ht="14.25" hidden="1">
      <c r="A32" s="56"/>
      <c r="B32" s="307"/>
      <c r="C32" s="307"/>
      <c r="D32" s="307"/>
      <c r="E32" s="57"/>
      <c r="F32" s="27"/>
      <c r="G32" s="19"/>
      <c r="H32" s="19"/>
      <c r="I32" s="19"/>
      <c r="J32" s="51">
        <f t="shared" si="4"/>
        <v>0</v>
      </c>
      <c r="K32" s="51"/>
      <c r="L32" s="19"/>
      <c r="M32" s="20"/>
      <c r="N32" s="20"/>
      <c r="O32" s="20"/>
      <c r="P32" s="308"/>
      <c r="Q32" s="308"/>
      <c r="R32" s="308"/>
    </row>
    <row r="33" spans="1:15" ht="14.25" hidden="1">
      <c r="A33" s="56"/>
      <c r="B33" s="307"/>
      <c r="C33" s="307"/>
      <c r="D33" s="307"/>
      <c r="E33" s="39"/>
      <c r="F33" s="39"/>
      <c r="G33" s="19"/>
      <c r="H33" s="19"/>
      <c r="I33" s="19"/>
      <c r="J33" s="51">
        <f t="shared" si="4"/>
        <v>0</v>
      </c>
      <c r="K33" s="51"/>
      <c r="L33" s="19"/>
      <c r="M33" s="20"/>
      <c r="N33" s="20"/>
      <c r="O33" s="20"/>
    </row>
    <row r="34" spans="1:15" ht="14.25" hidden="1">
      <c r="A34" s="56"/>
      <c r="B34" s="307"/>
      <c r="C34" s="307"/>
      <c r="D34" s="307"/>
      <c r="E34" s="39"/>
      <c r="F34" s="58"/>
      <c r="G34" s="19"/>
      <c r="H34" s="19"/>
      <c r="I34" s="19"/>
      <c r="J34" s="51">
        <f t="shared" si="4"/>
        <v>0</v>
      </c>
      <c r="K34" s="51"/>
      <c r="L34" s="19"/>
      <c r="M34" s="20"/>
      <c r="N34" s="20"/>
      <c r="O34" s="20"/>
    </row>
    <row r="35" spans="1:15" ht="14.25" hidden="1">
      <c r="A35" s="56"/>
      <c r="B35" s="307"/>
      <c r="C35" s="307"/>
      <c r="D35" s="307"/>
      <c r="E35" s="39"/>
      <c r="F35" s="39"/>
      <c r="G35" s="19"/>
      <c r="H35" s="19"/>
      <c r="I35" s="19"/>
      <c r="J35" s="51">
        <f t="shared" si="4"/>
        <v>0</v>
      </c>
      <c r="K35" s="51"/>
      <c r="L35" s="19"/>
      <c r="M35" s="20"/>
      <c r="N35" s="20"/>
      <c r="O35" s="20"/>
    </row>
    <row r="36" spans="1:15" ht="14.25">
      <c r="A36" s="59" t="s">
        <v>32</v>
      </c>
      <c r="B36" s="307"/>
      <c r="C36" s="307"/>
      <c r="D36" s="307"/>
      <c r="E36" s="19"/>
      <c r="F36" s="19"/>
      <c r="G36" s="19"/>
      <c r="H36" s="19"/>
      <c r="I36" s="19"/>
      <c r="J36" s="51">
        <f t="shared" si="4"/>
        <v>0</v>
      </c>
      <c r="K36" s="51"/>
      <c r="L36" s="19"/>
      <c r="M36" s="20"/>
      <c r="N36" s="20"/>
      <c r="O36" s="20"/>
    </row>
    <row r="37" spans="1:15" ht="15.75" thickBot="1">
      <c r="A37" s="53" t="s">
        <v>33</v>
      </c>
      <c r="B37" s="307"/>
      <c r="C37" s="307"/>
      <c r="D37" s="307"/>
      <c r="E37" s="19"/>
      <c r="F37" s="19"/>
      <c r="G37" s="19"/>
      <c r="H37" s="19"/>
      <c r="I37" s="19"/>
      <c r="J37" s="51">
        <f t="shared" si="4"/>
        <v>0</v>
      </c>
      <c r="K37" s="51"/>
      <c r="L37" s="19"/>
      <c r="M37" s="20"/>
      <c r="N37" s="20"/>
      <c r="O37" s="20"/>
    </row>
    <row r="38" spans="1:15" ht="15" thickBot="1">
      <c r="A38" s="94"/>
      <c r="B38" s="307"/>
      <c r="C38" s="307"/>
      <c r="D38" s="307"/>
      <c r="E38" s="19"/>
      <c r="F38" s="27"/>
      <c r="G38" s="19"/>
      <c r="H38" s="19"/>
      <c r="I38" s="19"/>
      <c r="J38" s="51">
        <f t="shared" si="4"/>
        <v>0</v>
      </c>
      <c r="K38" s="51"/>
      <c r="L38" s="19"/>
      <c r="M38" s="20"/>
      <c r="N38" s="20"/>
      <c r="O38" s="20"/>
    </row>
    <row r="39" spans="1:15" ht="14.25">
      <c r="A39" s="60"/>
      <c r="B39" s="307"/>
      <c r="C39" s="307"/>
      <c r="D39" s="307"/>
      <c r="E39" s="19"/>
      <c r="F39" s="19"/>
      <c r="G39" s="19"/>
      <c r="H39" s="19"/>
      <c r="I39" s="19"/>
      <c r="J39" s="51">
        <f t="shared" si="4"/>
        <v>0</v>
      </c>
      <c r="K39" s="51"/>
      <c r="L39" s="19"/>
      <c r="M39" s="20"/>
      <c r="N39" s="20"/>
      <c r="O39" s="20"/>
    </row>
    <row r="40" spans="1:15" ht="14.25">
      <c r="A40" s="60"/>
      <c r="B40" s="307"/>
      <c r="C40" s="307"/>
      <c r="D40" s="307"/>
      <c r="E40" s="19"/>
      <c r="F40" s="19"/>
      <c r="G40" s="19"/>
      <c r="H40" s="19"/>
      <c r="I40" s="19"/>
      <c r="J40" s="51">
        <f t="shared" si="4"/>
        <v>0</v>
      </c>
      <c r="K40" s="51"/>
      <c r="L40" s="19"/>
      <c r="M40" s="20"/>
      <c r="N40" s="20"/>
      <c r="O40" s="20"/>
    </row>
    <row r="41" spans="1:15" ht="15" thickBot="1">
      <c r="A41" s="61"/>
      <c r="B41" s="307"/>
      <c r="C41" s="27"/>
      <c r="D41" s="307"/>
      <c r="E41" s="19"/>
      <c r="F41" s="20"/>
      <c r="G41" s="19"/>
      <c r="H41" s="19"/>
      <c r="I41" s="19"/>
      <c r="J41" s="51">
        <f t="shared" si="4"/>
        <v>0</v>
      </c>
      <c r="K41" s="51"/>
      <c r="L41" s="19"/>
      <c r="M41" s="20"/>
      <c r="N41" s="39"/>
      <c r="O41" s="20"/>
    </row>
    <row r="42" spans="1:15" ht="15.75" thickBot="1">
      <c r="A42" s="33" t="s">
        <v>16</v>
      </c>
      <c r="B42" s="48">
        <f t="shared" ref="B42:M42" si="5">SUM(B19:B41)</f>
        <v>-43015.782935315976</v>
      </c>
      <c r="C42" s="48">
        <f t="shared" si="5"/>
        <v>6379.9792573020095</v>
      </c>
      <c r="D42" s="48">
        <f t="shared" si="5"/>
        <v>74725.628795834724</v>
      </c>
      <c r="E42" s="48">
        <f t="shared" si="5"/>
        <v>91098.148299010471</v>
      </c>
      <c r="F42" s="48">
        <f>SUM(F19:F41)</f>
        <v>99037.850241990775</v>
      </c>
      <c r="G42" s="48">
        <f t="shared" si="5"/>
        <v>107135.02704569185</v>
      </c>
      <c r="H42" s="48">
        <f t="shared" si="5"/>
        <v>6056.5451508109691</v>
      </c>
      <c r="I42" s="48">
        <f t="shared" si="5"/>
        <v>5568.4481495586224</v>
      </c>
      <c r="J42" s="48">
        <f t="shared" si="5"/>
        <v>346985.84400488343</v>
      </c>
      <c r="K42" s="48">
        <f t="shared" si="5"/>
        <v>0</v>
      </c>
      <c r="L42" s="48">
        <f t="shared" si="5"/>
        <v>0</v>
      </c>
      <c r="M42" s="48">
        <f t="shared" si="5"/>
        <v>0</v>
      </c>
      <c r="N42" s="36"/>
      <c r="O42" s="36"/>
    </row>
    <row r="43" spans="1:15">
      <c r="A43" s="308"/>
      <c r="B43" s="308"/>
      <c r="C43" s="308"/>
      <c r="D43" s="308"/>
      <c r="E43" s="308"/>
      <c r="F43" s="308"/>
      <c r="G43" s="308"/>
      <c r="H43" s="308"/>
      <c r="I43" s="308"/>
      <c r="J43" s="32"/>
      <c r="K43" s="308"/>
      <c r="L43" s="308"/>
      <c r="M43" s="308"/>
      <c r="N43" s="308"/>
      <c r="O43" s="308"/>
    </row>
    <row r="44" spans="1:15">
      <c r="A44" s="87"/>
      <c r="B44" s="308"/>
      <c r="C44" s="308"/>
      <c r="D44" s="308"/>
      <c r="E44" s="308"/>
      <c r="F44" s="308"/>
      <c r="G44" s="308"/>
      <c r="H44" s="308"/>
      <c r="I44" s="308"/>
      <c r="J44" s="32"/>
      <c r="K44" s="308"/>
      <c r="L44" s="308"/>
      <c r="M44" s="308"/>
      <c r="N44" s="308"/>
      <c r="O44" s="308"/>
    </row>
    <row r="45" spans="1:15" ht="60.75" thickBot="1">
      <c r="A45" s="21" t="s">
        <v>34</v>
      </c>
      <c r="B45" s="62" t="s">
        <v>4</v>
      </c>
      <c r="C45" s="23" t="s">
        <v>5</v>
      </c>
      <c r="D45" s="23" t="s">
        <v>6</v>
      </c>
      <c r="E45" s="23" t="s">
        <v>7</v>
      </c>
      <c r="F45" s="23" t="s">
        <v>8</v>
      </c>
      <c r="G45" s="23" t="s">
        <v>9</v>
      </c>
      <c r="H45" s="23" t="s">
        <v>10</v>
      </c>
      <c r="I45" s="63" t="s">
        <v>11</v>
      </c>
      <c r="J45" s="23" t="s">
        <v>35</v>
      </c>
      <c r="K45" s="23" t="s">
        <v>36</v>
      </c>
      <c r="L45" s="23" t="s">
        <v>13</v>
      </c>
      <c r="M45" s="24" t="s">
        <v>37</v>
      </c>
      <c r="N45" s="308"/>
      <c r="O45" s="308"/>
    </row>
    <row r="46" spans="1:15" ht="15">
      <c r="A46" s="30"/>
      <c r="B46" s="64"/>
      <c r="C46" s="65"/>
      <c r="D46" s="65"/>
      <c r="E46" s="19"/>
      <c r="F46" s="19"/>
      <c r="G46" s="19"/>
      <c r="H46" s="19"/>
      <c r="I46" s="27"/>
      <c r="J46" s="19"/>
      <c r="K46" s="19"/>
      <c r="L46" s="19"/>
      <c r="M46" s="20"/>
      <c r="N46" s="308"/>
      <c r="O46" s="308"/>
    </row>
    <row r="47" spans="1:15" ht="15">
      <c r="A47" s="31" t="s">
        <v>38</v>
      </c>
      <c r="B47" s="26">
        <f>+'DO Non Labor Pivot 22'!I5</f>
        <v>553500</v>
      </c>
      <c r="C47" s="26">
        <f>+'DO Non Labor Pivot 22'!C5</f>
        <v>38606</v>
      </c>
      <c r="D47" s="26">
        <f>+'DO Non Labor Pivot 22'!D5</f>
        <v>182425</v>
      </c>
      <c r="E47" s="27">
        <f>+'DO Non Labor Pivot 22'!B5</f>
        <v>7896898.5</v>
      </c>
      <c r="F47" s="27">
        <f>+'DO Non Labor Pivot 22'!E5</f>
        <v>6348315</v>
      </c>
      <c r="G47" s="27">
        <f>+'DO Non Labor Pivot 22'!F5</f>
        <v>679865.9</v>
      </c>
      <c r="H47" s="54">
        <f>+'DO Non Labor Pivot 22'!G5</f>
        <v>406000</v>
      </c>
      <c r="I47" s="27">
        <f>+'DO Non Labor Pivot 22'!H5</f>
        <v>343833.66666666663</v>
      </c>
      <c r="J47" s="27">
        <f>SUM(B47:I47)</f>
        <v>16449444.066666666</v>
      </c>
      <c r="K47" s="19">
        <v>12279648.83</v>
      </c>
      <c r="L47" s="19">
        <v>595625.66999999993</v>
      </c>
      <c r="M47" s="39">
        <f>+[1]Non_Labor_Variance!I200</f>
        <v>16503407.57</v>
      </c>
      <c r="N47" s="308"/>
      <c r="O47" s="32"/>
    </row>
    <row r="48" spans="1:15" ht="15">
      <c r="A48" s="30"/>
      <c r="B48" s="26"/>
      <c r="C48" s="26"/>
      <c r="D48" s="26"/>
      <c r="E48" s="27"/>
      <c r="F48" s="27"/>
      <c r="G48" s="27"/>
      <c r="H48" s="27"/>
      <c r="I48" s="27"/>
      <c r="J48" s="27"/>
      <c r="K48" s="19"/>
      <c r="L48" s="19"/>
      <c r="M48" s="20"/>
      <c r="N48" s="308"/>
      <c r="O48" s="90"/>
    </row>
    <row r="49" spans="1:17" s="29" customFormat="1" ht="15.75" thickBot="1">
      <c r="A49" s="25" t="s">
        <v>39</v>
      </c>
      <c r="B49" s="26">
        <f>+'DO Non Labor Pivot 21'!I90</f>
        <v>683500</v>
      </c>
      <c r="C49" s="26">
        <f>+'DO Non Labor Pivot 21'!C90</f>
        <v>39800</v>
      </c>
      <c r="D49" s="26">
        <f>+'DO Non Labor Pivot 21'!D90</f>
        <v>458000</v>
      </c>
      <c r="E49" s="27">
        <f>+'DO Non Labor Pivot 21'!B90</f>
        <v>8279642.4900000002</v>
      </c>
      <c r="F49" s="27">
        <f>+'DO Non Labor Pivot 21'!E90</f>
        <v>6694383</v>
      </c>
      <c r="G49" s="27">
        <f>+'DO Non Labor Pivot 21'!F90</f>
        <v>673203</v>
      </c>
      <c r="H49" s="27">
        <f>+'DO Non Labor Pivot 21'!G90</f>
        <v>406000</v>
      </c>
      <c r="I49" s="27">
        <f>+'DO Non Labor Pivot 21'!H90</f>
        <v>319789</v>
      </c>
      <c r="J49" s="27">
        <f>SUM(B49:I49)</f>
        <v>17554317.490000002</v>
      </c>
      <c r="K49" s="27">
        <v>12948659</v>
      </c>
      <c r="L49" s="27">
        <v>0</v>
      </c>
      <c r="M49" s="27">
        <f>+[1]Non_Labor_Variance!H200</f>
        <v>17075512</v>
      </c>
      <c r="N49" s="27"/>
      <c r="O49" s="93"/>
    </row>
    <row r="50" spans="1:17" s="13" customFormat="1" ht="15.75" thickBot="1">
      <c r="A50" s="33" t="s">
        <v>16</v>
      </c>
      <c r="B50" s="67">
        <f>+B47-B49</f>
        <v>-130000</v>
      </c>
      <c r="C50" s="67">
        <f t="shared" ref="C50:J50" si="6">+C47-C49</f>
        <v>-1194</v>
      </c>
      <c r="D50" s="67">
        <f t="shared" si="6"/>
        <v>-275575</v>
      </c>
      <c r="E50" s="67">
        <f t="shared" si="6"/>
        <v>-382743.99000000022</v>
      </c>
      <c r="F50" s="67">
        <f t="shared" si="6"/>
        <v>-346068</v>
      </c>
      <c r="G50" s="67">
        <f t="shared" si="6"/>
        <v>6662.9000000000233</v>
      </c>
      <c r="H50" s="67">
        <f t="shared" si="6"/>
        <v>0</v>
      </c>
      <c r="I50" s="67">
        <f t="shared" si="6"/>
        <v>24044.666666666628</v>
      </c>
      <c r="J50" s="67">
        <f t="shared" si="6"/>
        <v>-1104873.4233333357</v>
      </c>
      <c r="K50" s="48">
        <v>-669010.16999999993</v>
      </c>
      <c r="L50" s="48">
        <v>595625.66999999993</v>
      </c>
      <c r="M50" s="30"/>
      <c r="N50" s="68"/>
      <c r="O50" s="68"/>
    </row>
    <row r="51" spans="1:17">
      <c r="A51" s="69"/>
      <c r="B51" s="29"/>
      <c r="C51" s="29"/>
      <c r="D51" s="29"/>
      <c r="E51" s="29"/>
      <c r="F51" s="29"/>
      <c r="G51" s="29"/>
      <c r="H51" s="29"/>
      <c r="I51" s="70"/>
      <c r="J51" s="29"/>
      <c r="K51" s="308"/>
      <c r="L51" s="308"/>
      <c r="M51" s="308"/>
      <c r="N51" s="308"/>
      <c r="O51" s="308"/>
      <c r="P51" s="308"/>
      <c r="Q51" s="308"/>
    </row>
    <row r="52" spans="1:17" ht="13.5" thickBot="1">
      <c r="A52" s="71" t="s">
        <v>40</v>
      </c>
      <c r="B52" s="86">
        <f>-'DO_Non-Labor Tentative 22'!Q359</f>
        <v>-175000</v>
      </c>
      <c r="C52" s="332"/>
      <c r="D52" s="29"/>
      <c r="E52" s="29"/>
      <c r="F52" s="330">
        <f>-925000+175000</f>
        <v>-750000</v>
      </c>
      <c r="G52" s="29"/>
      <c r="H52" s="29"/>
      <c r="I52" s="70"/>
      <c r="J52" s="330">
        <f>SUM(B52:I52)</f>
        <v>-925000</v>
      </c>
      <c r="K52" s="308"/>
      <c r="L52" s="308"/>
      <c r="M52" s="308"/>
      <c r="N52" s="308"/>
      <c r="O52" s="308"/>
      <c r="P52" s="308"/>
      <c r="Q52" s="308"/>
    </row>
    <row r="53" spans="1:17" ht="13.5" thickBot="1">
      <c r="A53" s="71" t="s">
        <v>41</v>
      </c>
      <c r="B53" s="86">
        <f>+B47+B52</f>
        <v>378500</v>
      </c>
      <c r="C53" s="332"/>
      <c r="D53" s="29"/>
      <c r="E53" s="29"/>
      <c r="F53" s="331">
        <f>+F47+F52</f>
        <v>5598315</v>
      </c>
      <c r="G53" s="46"/>
      <c r="H53" s="29"/>
      <c r="I53" s="70"/>
      <c r="J53" s="331">
        <f>+J47+J52</f>
        <v>15524444.066666666</v>
      </c>
      <c r="K53" s="308"/>
      <c r="L53" s="308"/>
      <c r="M53" s="308"/>
      <c r="N53" s="308"/>
      <c r="O53" s="308"/>
      <c r="P53" s="308"/>
      <c r="Q53" s="308"/>
    </row>
    <row r="54" spans="1:17">
      <c r="A54" s="69"/>
      <c r="B54" s="308"/>
      <c r="C54" s="308"/>
      <c r="D54" s="308"/>
      <c r="E54" s="308"/>
      <c r="F54" s="308"/>
      <c r="G54" s="308"/>
      <c r="H54" s="308"/>
      <c r="I54" s="70"/>
      <c r="J54" s="308"/>
      <c r="K54" s="308"/>
      <c r="L54" s="308"/>
      <c r="M54" s="308"/>
      <c r="N54" s="308"/>
      <c r="O54" s="308"/>
      <c r="P54" s="308"/>
      <c r="Q54" s="308"/>
    </row>
    <row r="55" spans="1:17" ht="19.5">
      <c r="A55" s="72"/>
      <c r="B55" s="371" t="s">
        <v>42</v>
      </c>
      <c r="C55" s="372"/>
      <c r="D55" s="372"/>
      <c r="E55" s="372"/>
      <c r="F55" s="372"/>
      <c r="G55" s="372"/>
      <c r="H55" s="372"/>
      <c r="I55" s="372"/>
      <c r="J55" s="372"/>
      <c r="K55" s="308"/>
      <c r="L55" s="308"/>
      <c r="M55" s="308"/>
      <c r="N55" s="308"/>
      <c r="O55" s="308"/>
      <c r="P55" s="308"/>
      <c r="Q55" s="308"/>
    </row>
    <row r="56" spans="1:17" s="74" customFormat="1" ht="14.25">
      <c r="A56" s="73"/>
    </row>
    <row r="57" spans="1:17" s="74" customFormat="1" ht="15.75" thickBot="1">
      <c r="A57" s="75" t="s">
        <v>43</v>
      </c>
      <c r="B57" s="76">
        <f t="shared" ref="B57:J57" si="7">+B6+B47</f>
        <v>1118305.217064684</v>
      </c>
      <c r="C57" s="76">
        <f t="shared" si="7"/>
        <v>593084.97925730201</v>
      </c>
      <c r="D57" s="76">
        <f t="shared" si="7"/>
        <v>1064721.6287958347</v>
      </c>
      <c r="E57" s="76">
        <f t="shared" si="7"/>
        <v>10725379.64829901</v>
      </c>
      <c r="F57" s="76">
        <f t="shared" si="7"/>
        <v>11531821.850241991</v>
      </c>
      <c r="G57" s="76">
        <f t="shared" si="7"/>
        <v>3953719.9270456918</v>
      </c>
      <c r="H57" s="76">
        <f t="shared" si="7"/>
        <v>844987.54515081097</v>
      </c>
      <c r="I57" s="76">
        <f t="shared" si="7"/>
        <v>987634.11481622525</v>
      </c>
      <c r="J57" s="76">
        <f t="shared" si="7"/>
        <v>30819654.910671547</v>
      </c>
      <c r="K57" s="77">
        <v>22163409.850000001</v>
      </c>
      <c r="L57" s="77">
        <v>2887745.3596228193</v>
      </c>
      <c r="M57" s="31"/>
      <c r="N57" s="78"/>
      <c r="O57" s="78"/>
    </row>
    <row r="58" spans="1:17" s="74" customFormat="1" ht="15">
      <c r="A58" s="31"/>
      <c r="B58" s="49"/>
      <c r="C58" s="49"/>
      <c r="D58" s="49"/>
      <c r="E58" s="49"/>
      <c r="F58" s="49"/>
      <c r="G58" s="49"/>
      <c r="H58" s="49"/>
      <c r="I58" s="49"/>
      <c r="J58" s="49"/>
      <c r="K58" s="79"/>
      <c r="L58" s="79"/>
      <c r="M58" s="31"/>
      <c r="O58" s="78"/>
    </row>
    <row r="59" spans="1:17" s="74" customFormat="1" ht="15.75" thickBot="1">
      <c r="A59" s="75" t="s">
        <v>44</v>
      </c>
      <c r="B59" s="77">
        <f t="shared" ref="B59:M59" si="8">+B57-B8-B49</f>
        <v>-173015.78293531598</v>
      </c>
      <c r="C59" s="77">
        <f t="shared" si="8"/>
        <v>5185.9792573020095</v>
      </c>
      <c r="D59" s="77">
        <f t="shared" si="8"/>
        <v>-200849.37120416528</v>
      </c>
      <c r="E59" s="77">
        <f t="shared" si="8"/>
        <v>-291645.84170098975</v>
      </c>
      <c r="F59" s="77">
        <f t="shared" si="8"/>
        <v>-247030.14975800924</v>
      </c>
      <c r="G59" s="77">
        <f t="shared" si="8"/>
        <v>113797.92704569176</v>
      </c>
      <c r="H59" s="77">
        <f t="shared" si="8"/>
        <v>6056.5451508109691</v>
      </c>
      <c r="I59" s="77">
        <f t="shared" si="8"/>
        <v>29613.11481622525</v>
      </c>
      <c r="J59" s="77">
        <f t="shared" si="8"/>
        <v>-757887.57932845503</v>
      </c>
      <c r="K59" s="77">
        <f t="shared" si="8"/>
        <v>9214750.8500000015</v>
      </c>
      <c r="L59" s="77">
        <f t="shared" si="8"/>
        <v>-11135479.640377181</v>
      </c>
      <c r="M59" s="77">
        <f t="shared" si="8"/>
        <v>-29815039</v>
      </c>
      <c r="N59" s="80"/>
      <c r="O59" s="81"/>
      <c r="P59" s="81"/>
      <c r="Q59" s="81"/>
    </row>
    <row r="60" spans="1:17" ht="13.5" thickTop="1">
      <c r="A60" s="82"/>
      <c r="B60" s="83"/>
      <c r="C60" s="83"/>
      <c r="D60" s="83"/>
      <c r="E60" s="84"/>
      <c r="F60" s="84"/>
      <c r="G60" s="84"/>
      <c r="H60" s="84"/>
      <c r="I60" s="84"/>
      <c r="J60" s="84"/>
      <c r="K60" s="84">
        <v>22163409.850000001</v>
      </c>
      <c r="L60" s="84">
        <v>2887745.3596228193</v>
      </c>
      <c r="M60" s="82"/>
      <c r="N60" s="308"/>
      <c r="O60" s="308"/>
      <c r="P60" s="308"/>
      <c r="Q60" s="308"/>
    </row>
    <row r="61" spans="1:17">
      <c r="A61" s="308"/>
      <c r="B61" s="83"/>
      <c r="C61" s="83"/>
      <c r="D61" s="83"/>
      <c r="E61" s="84"/>
      <c r="F61" s="84"/>
      <c r="G61" s="84"/>
      <c r="H61" s="84"/>
      <c r="I61" s="84"/>
      <c r="J61" s="32"/>
      <c r="K61" s="308"/>
      <c r="L61" s="308"/>
      <c r="M61" s="308"/>
      <c r="N61" s="308"/>
      <c r="O61" s="308"/>
      <c r="P61" s="308"/>
      <c r="Q61" s="308"/>
    </row>
    <row r="62" spans="1:17">
      <c r="A62" s="308"/>
      <c r="B62" s="83"/>
      <c r="C62" s="83"/>
      <c r="D62" s="83"/>
      <c r="E62" s="84"/>
      <c r="F62" s="84"/>
      <c r="G62" s="84"/>
      <c r="H62" s="84"/>
      <c r="I62" s="84"/>
      <c r="J62" s="308"/>
      <c r="K62" s="308"/>
      <c r="L62" s="308"/>
      <c r="M62" s="308"/>
      <c r="N62" s="308"/>
      <c r="O62" s="308"/>
      <c r="P62" s="308"/>
      <c r="Q62" s="308"/>
    </row>
    <row r="63" spans="1:17">
      <c r="A63" s="308"/>
      <c r="B63" s="83"/>
      <c r="C63" s="83"/>
      <c r="D63" s="83"/>
      <c r="E63" s="84"/>
      <c r="F63" s="84"/>
      <c r="G63" s="84"/>
      <c r="H63" s="84"/>
      <c r="I63" s="84"/>
      <c r="J63" s="308"/>
      <c r="K63" s="308"/>
      <c r="L63" s="308"/>
      <c r="M63" s="308"/>
      <c r="N63" s="308"/>
      <c r="O63" s="308"/>
      <c r="P63" s="308"/>
      <c r="Q63" s="308"/>
    </row>
    <row r="66" spans="10:14">
      <c r="J66" s="85"/>
      <c r="K66" s="308"/>
      <c r="L66" s="308"/>
      <c r="M66" s="308"/>
      <c r="N66" s="308"/>
    </row>
    <row r="67" spans="10:14">
      <c r="J67" s="326">
        <f>+J47+J6+J52</f>
        <v>29894654.910671547</v>
      </c>
      <c r="K67" s="91"/>
      <c r="L67" s="91"/>
      <c r="M67" s="91"/>
      <c r="N67" s="91" t="s">
        <v>45</v>
      </c>
    </row>
    <row r="68" spans="10:14" ht="13.5" thickBot="1">
      <c r="J68" s="326">
        <f>+[2]Summary!$J$55+[2]Summary!$J$50</f>
        <v>29711493.947494626</v>
      </c>
      <c r="K68" s="91"/>
      <c r="L68" s="91"/>
      <c r="M68" s="91"/>
      <c r="N68" s="91" t="s">
        <v>46</v>
      </c>
    </row>
    <row r="69" spans="10:14" ht="13.5" thickBot="1">
      <c r="J69" s="327">
        <f>+J67-J68</f>
        <v>183160.96317692101</v>
      </c>
      <c r="K69" s="91"/>
      <c r="L69" s="91"/>
      <c r="M69" s="91"/>
      <c r="N69" s="91" t="s">
        <v>47</v>
      </c>
    </row>
    <row r="70" spans="10:14">
      <c r="J70" s="328">
        <f>-J42</f>
        <v>-346985.84400488343</v>
      </c>
      <c r="K70" s="91"/>
      <c r="L70" s="91"/>
      <c r="M70" s="91"/>
      <c r="N70" s="91" t="s">
        <v>48</v>
      </c>
    </row>
    <row r="71" spans="10:14" ht="13.5" thickBot="1">
      <c r="J71" s="329">
        <f>SUM(J69:J70)</f>
        <v>-163824.88082796242</v>
      </c>
      <c r="K71" s="91"/>
      <c r="L71" s="91"/>
      <c r="M71" s="91"/>
      <c r="N71" s="91" t="s">
        <v>49</v>
      </c>
    </row>
  </sheetData>
  <mergeCells count="1">
    <mergeCell ref="B55:J55"/>
  </mergeCells>
  <phoneticPr fontId="30" type="noConversion"/>
  <printOptions horizontalCentered="1" verticalCentered="1" gridLines="1"/>
  <pageMargins left="0.25" right="0.25" top="0.25" bottom="0.25" header="0.3" footer="0.3"/>
  <pageSetup scale="63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D502D-8843-4611-885E-65AB1DD0025D}">
  <sheetPr>
    <tabColor rgb="FF00B050"/>
  </sheetPr>
  <dimension ref="A3:N6"/>
  <sheetViews>
    <sheetView topLeftCell="C1" workbookViewId="0">
      <selection activeCell="G5" sqref="G5"/>
    </sheetView>
  </sheetViews>
  <sheetFormatPr defaultRowHeight="12.75"/>
  <cols>
    <col min="1" max="1" width="39" bestFit="1" customWidth="1"/>
    <col min="2" max="14" width="14.85546875" bestFit="1" customWidth="1"/>
    <col min="15" max="20" width="8.140625" bestFit="1" customWidth="1"/>
    <col min="21" max="21" width="12.28515625" bestFit="1" customWidth="1"/>
  </cols>
  <sheetData>
    <row r="3" spans="1:14">
      <c r="A3" s="310" t="s">
        <v>50</v>
      </c>
      <c r="B3" s="310" t="s">
        <v>51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>
      <c r="A4" s="310" t="s">
        <v>52</v>
      </c>
      <c r="B4" s="308">
        <v>13</v>
      </c>
      <c r="C4" s="308">
        <v>14</v>
      </c>
      <c r="D4" s="308" t="s">
        <v>53</v>
      </c>
      <c r="E4" s="308" t="s">
        <v>54</v>
      </c>
      <c r="F4" s="308" t="s">
        <v>55</v>
      </c>
      <c r="G4" s="308" t="s">
        <v>56</v>
      </c>
      <c r="H4" s="308" t="s">
        <v>57</v>
      </c>
      <c r="I4" s="308" t="s">
        <v>58</v>
      </c>
      <c r="J4" s="308" t="s">
        <v>59</v>
      </c>
      <c r="K4" s="308" t="s">
        <v>60</v>
      </c>
      <c r="L4" s="308" t="s">
        <v>61</v>
      </c>
      <c r="M4" s="308" t="s">
        <v>62</v>
      </c>
      <c r="N4" s="308" t="s">
        <v>63</v>
      </c>
    </row>
    <row r="5" spans="1:14">
      <c r="A5" s="308" t="s">
        <v>64</v>
      </c>
      <c r="B5" s="312">
        <v>0</v>
      </c>
      <c r="C5" s="312">
        <v>0</v>
      </c>
      <c r="D5" s="312">
        <v>554478.97925730201</v>
      </c>
      <c r="E5" s="312">
        <v>882296.62879583472</v>
      </c>
      <c r="F5" s="312">
        <v>2576078.7796370252</v>
      </c>
      <c r="G5" s="312">
        <v>5306676.8502419908</v>
      </c>
      <c r="H5" s="312">
        <v>3273854.0270456919</v>
      </c>
      <c r="I5" s="312">
        <v>438987.54515081097</v>
      </c>
      <c r="J5" s="312">
        <v>0</v>
      </c>
      <c r="K5" s="312">
        <v>643800.44814955862</v>
      </c>
      <c r="L5" s="312">
        <v>564805.21706468402</v>
      </c>
      <c r="M5" s="312">
        <v>252402.3686619855</v>
      </c>
      <c r="N5" s="312">
        <v>14493380.844004882</v>
      </c>
    </row>
    <row r="6" spans="1:14">
      <c r="A6" s="308" t="s">
        <v>63</v>
      </c>
      <c r="B6" s="312">
        <v>0</v>
      </c>
      <c r="C6" s="312">
        <v>0</v>
      </c>
      <c r="D6" s="312">
        <v>554478.97925730201</v>
      </c>
      <c r="E6" s="312">
        <v>882296.62879583472</v>
      </c>
      <c r="F6" s="312">
        <v>2576078.7796370252</v>
      </c>
      <c r="G6" s="312">
        <v>5306676.8502419908</v>
      </c>
      <c r="H6" s="312">
        <v>3273854.0270456919</v>
      </c>
      <c r="I6" s="312">
        <v>438987.54515081097</v>
      </c>
      <c r="J6" s="312">
        <v>0</v>
      </c>
      <c r="K6" s="312">
        <v>643800.44814955862</v>
      </c>
      <c r="L6" s="312">
        <v>564805.21706468402</v>
      </c>
      <c r="M6" s="312">
        <v>252402.3686619855</v>
      </c>
      <c r="N6" s="312">
        <v>14493380.844004882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20A84-1707-4DF1-8B63-06C5EAB069F0}">
  <dimension ref="A3:J7"/>
  <sheetViews>
    <sheetView workbookViewId="0">
      <selection activeCell="B5" sqref="B5:J5"/>
    </sheetView>
  </sheetViews>
  <sheetFormatPr defaultRowHeight="12.75"/>
  <cols>
    <col min="1" max="1" width="26.5703125" bestFit="1" customWidth="1"/>
    <col min="2" max="9" width="13.7109375" style="90" bestFit="1" customWidth="1"/>
    <col min="10" max="10" width="14.28515625" style="90" bestFit="1" customWidth="1"/>
  </cols>
  <sheetData>
    <row r="3" spans="1:10">
      <c r="A3" s="310" t="s">
        <v>65</v>
      </c>
      <c r="B3" s="310" t="s">
        <v>66</v>
      </c>
      <c r="C3" s="308"/>
      <c r="D3" s="308"/>
      <c r="E3" s="308"/>
      <c r="F3" s="308"/>
      <c r="G3" s="308"/>
      <c r="H3" s="308"/>
      <c r="I3" s="308"/>
      <c r="J3" s="308"/>
    </row>
    <row r="4" spans="1:10">
      <c r="A4" s="308"/>
      <c r="B4" s="308">
        <v>12</v>
      </c>
      <c r="C4" s="308" t="s">
        <v>53</v>
      </c>
      <c r="D4" s="308" t="s">
        <v>54</v>
      </c>
      <c r="E4" s="308" t="s">
        <v>56</v>
      </c>
      <c r="F4" s="308" t="s">
        <v>57</v>
      </c>
      <c r="G4" s="308" t="s">
        <v>58</v>
      </c>
      <c r="H4" s="308" t="s">
        <v>60</v>
      </c>
      <c r="I4" s="308" t="s">
        <v>61</v>
      </c>
      <c r="J4" s="308" t="s">
        <v>63</v>
      </c>
    </row>
    <row r="5" spans="1:10">
      <c r="A5" s="308" t="s">
        <v>35</v>
      </c>
      <c r="B5" s="311">
        <v>7896898.5</v>
      </c>
      <c r="C5" s="311">
        <v>38606</v>
      </c>
      <c r="D5" s="311">
        <v>182425</v>
      </c>
      <c r="E5" s="311">
        <v>6348315</v>
      </c>
      <c r="F5" s="311">
        <v>679865.9</v>
      </c>
      <c r="G5" s="311">
        <v>406000</v>
      </c>
      <c r="H5" s="311">
        <v>343833.66666666663</v>
      </c>
      <c r="I5" s="311">
        <v>553500</v>
      </c>
      <c r="J5" s="311">
        <v>16449444.066666666</v>
      </c>
    </row>
    <row r="7" spans="1:10">
      <c r="A7" s="308"/>
      <c r="D7" s="90">
        <f>SUM('DO_Non-Labor Tentative 22'!Q16:Q62)</f>
        <v>182425</v>
      </c>
    </row>
  </sheetData>
  <pageMargins left="0.7" right="0.7" top="0.75" bottom="0.75" header="0.3" footer="0.3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6323C-8F6A-4011-80ED-61E16CE2E41C}">
  <dimension ref="A3:J90"/>
  <sheetViews>
    <sheetView workbookViewId="0">
      <pane xSplit="1" ySplit="4" topLeftCell="B86" activePane="bottomRight" state="frozen"/>
      <selection pane="bottomRight" activeCell="D106" sqref="D106"/>
      <selection pane="bottomLeft" activeCell="A5" sqref="A5"/>
      <selection pane="topRight" activeCell="B1" sqref="B1"/>
    </sheetView>
  </sheetViews>
  <sheetFormatPr defaultRowHeight="12.75"/>
  <cols>
    <col min="1" max="1" width="28.7109375" bestFit="1" customWidth="1"/>
    <col min="2" max="10" width="13.7109375" style="90" bestFit="1" customWidth="1"/>
  </cols>
  <sheetData>
    <row r="3" spans="1:10">
      <c r="A3" s="310" t="s">
        <v>67</v>
      </c>
      <c r="B3" s="310" t="s">
        <v>66</v>
      </c>
      <c r="C3" s="308"/>
      <c r="D3" s="308"/>
      <c r="E3" s="308"/>
      <c r="F3" s="308"/>
      <c r="G3" s="308"/>
      <c r="H3" s="308"/>
      <c r="I3" s="308"/>
      <c r="J3" s="308"/>
    </row>
    <row r="4" spans="1:10">
      <c r="A4" s="310" t="s">
        <v>68</v>
      </c>
      <c r="B4" s="308">
        <v>12</v>
      </c>
      <c r="C4" s="308" t="s">
        <v>53</v>
      </c>
      <c r="D4" s="308" t="s">
        <v>54</v>
      </c>
      <c r="E4" s="308" t="s">
        <v>56</v>
      </c>
      <c r="F4" s="308" t="s">
        <v>57</v>
      </c>
      <c r="G4" s="308" t="s">
        <v>58</v>
      </c>
      <c r="H4" s="308" t="s">
        <v>60</v>
      </c>
      <c r="I4" s="308" t="s">
        <v>61</v>
      </c>
      <c r="J4" s="308" t="s">
        <v>63</v>
      </c>
    </row>
    <row r="5" spans="1:10">
      <c r="A5" s="308" t="s">
        <v>69</v>
      </c>
      <c r="B5" s="312"/>
      <c r="C5" s="312"/>
      <c r="D5" s="312">
        <v>0</v>
      </c>
      <c r="E5" s="312"/>
      <c r="F5" s="312">
        <v>9000</v>
      </c>
      <c r="G5" s="312"/>
      <c r="H5" s="312"/>
      <c r="I5" s="312"/>
      <c r="J5" s="312">
        <v>9000</v>
      </c>
    </row>
    <row r="6" spans="1:10">
      <c r="A6" s="308" t="s">
        <v>70</v>
      </c>
      <c r="B6" s="312">
        <v>-22171.51</v>
      </c>
      <c r="C6" s="312"/>
      <c r="D6" s="312"/>
      <c r="E6" s="312"/>
      <c r="F6" s="312"/>
      <c r="G6" s="312"/>
      <c r="H6" s="312"/>
      <c r="I6" s="312"/>
      <c r="J6" s="312">
        <v>-22171.51</v>
      </c>
    </row>
    <row r="7" spans="1:10">
      <c r="A7" s="308" t="s">
        <v>71</v>
      </c>
      <c r="B7" s="312">
        <v>20000</v>
      </c>
      <c r="C7" s="312"/>
      <c r="D7" s="312"/>
      <c r="E7" s="312"/>
      <c r="F7" s="312">
        <v>17000</v>
      </c>
      <c r="G7" s="312"/>
      <c r="H7" s="312"/>
      <c r="I7" s="312"/>
      <c r="J7" s="312">
        <v>37000</v>
      </c>
    </row>
    <row r="8" spans="1:10">
      <c r="A8" s="308" t="s">
        <v>72</v>
      </c>
      <c r="B8" s="312">
        <v>0</v>
      </c>
      <c r="C8" s="312"/>
      <c r="D8" s="312"/>
      <c r="E8" s="312">
        <v>10000</v>
      </c>
      <c r="F8" s="312">
        <v>0</v>
      </c>
      <c r="G8" s="312"/>
      <c r="H8" s="312">
        <v>0</v>
      </c>
      <c r="I8" s="312"/>
      <c r="J8" s="312">
        <v>10000</v>
      </c>
    </row>
    <row r="9" spans="1:10">
      <c r="A9" s="308" t="s">
        <v>73</v>
      </c>
      <c r="B9" s="312"/>
      <c r="C9" s="312"/>
      <c r="D9" s="312">
        <v>6300</v>
      </c>
      <c r="E9" s="312"/>
      <c r="F9" s="312"/>
      <c r="G9" s="312"/>
      <c r="H9" s="312"/>
      <c r="I9" s="312"/>
      <c r="J9" s="312">
        <v>6300</v>
      </c>
    </row>
    <row r="10" spans="1:10">
      <c r="A10" s="308" t="s">
        <v>74</v>
      </c>
      <c r="B10" s="312">
        <v>0</v>
      </c>
      <c r="C10" s="312"/>
      <c r="D10" s="312"/>
      <c r="E10" s="312"/>
      <c r="F10" s="312">
        <v>24000</v>
      </c>
      <c r="G10" s="312"/>
      <c r="H10" s="312"/>
      <c r="I10" s="312"/>
      <c r="J10" s="312">
        <v>24000</v>
      </c>
    </row>
    <row r="11" spans="1:10">
      <c r="A11" s="308" t="s">
        <v>75</v>
      </c>
      <c r="B11" s="312">
        <v>250</v>
      </c>
      <c r="C11" s="312">
        <v>200</v>
      </c>
      <c r="D11" s="312">
        <v>1800</v>
      </c>
      <c r="E11" s="312">
        <v>1050</v>
      </c>
      <c r="F11" s="312"/>
      <c r="G11" s="312">
        <v>15000</v>
      </c>
      <c r="H11" s="312">
        <v>3200</v>
      </c>
      <c r="I11" s="312"/>
      <c r="J11" s="312">
        <v>21500</v>
      </c>
    </row>
    <row r="12" spans="1:10">
      <c r="A12" s="308" t="s">
        <v>76</v>
      </c>
      <c r="B12" s="312"/>
      <c r="C12" s="312"/>
      <c r="D12" s="312">
        <v>2900</v>
      </c>
      <c r="E12" s="312"/>
      <c r="F12" s="312"/>
      <c r="G12" s="312"/>
      <c r="H12" s="312"/>
      <c r="I12" s="312"/>
      <c r="J12" s="312">
        <v>2900</v>
      </c>
    </row>
    <row r="13" spans="1:10">
      <c r="A13" s="308" t="s">
        <v>77</v>
      </c>
      <c r="B13" s="312"/>
      <c r="C13" s="312"/>
      <c r="D13" s="312"/>
      <c r="E13" s="312">
        <v>750</v>
      </c>
      <c r="F13" s="312"/>
      <c r="G13" s="312"/>
      <c r="H13" s="312"/>
      <c r="I13" s="312"/>
      <c r="J13" s="312">
        <v>750</v>
      </c>
    </row>
    <row r="14" spans="1:10">
      <c r="A14" s="308" t="s">
        <v>78</v>
      </c>
      <c r="B14" s="312">
        <v>36900</v>
      </c>
      <c r="C14" s="312">
        <v>700</v>
      </c>
      <c r="D14" s="312">
        <v>1400</v>
      </c>
      <c r="E14" s="312">
        <v>20000</v>
      </c>
      <c r="F14" s="312">
        <v>41610</v>
      </c>
      <c r="G14" s="312"/>
      <c r="H14" s="312">
        <v>49000</v>
      </c>
      <c r="I14" s="312"/>
      <c r="J14" s="312">
        <v>149610</v>
      </c>
    </row>
    <row r="15" spans="1:10">
      <c r="A15" s="308" t="s">
        <v>79</v>
      </c>
      <c r="B15" s="312"/>
      <c r="C15" s="312"/>
      <c r="D15" s="312"/>
      <c r="E15" s="312"/>
      <c r="F15" s="312"/>
      <c r="G15" s="312"/>
      <c r="H15" s="312"/>
      <c r="I15" s="312"/>
      <c r="J15" s="312"/>
    </row>
    <row r="16" spans="1:10">
      <c r="A16" s="308" t="s">
        <v>80</v>
      </c>
      <c r="B16" s="312">
        <v>0</v>
      </c>
      <c r="C16" s="312"/>
      <c r="D16" s="312"/>
      <c r="E16" s="312"/>
      <c r="F16" s="312"/>
      <c r="G16" s="312"/>
      <c r="H16" s="312"/>
      <c r="I16" s="312"/>
      <c r="J16" s="312">
        <v>0</v>
      </c>
    </row>
    <row r="17" spans="1:10">
      <c r="A17" s="308" t="s">
        <v>81</v>
      </c>
      <c r="B17" s="312"/>
      <c r="C17" s="312"/>
      <c r="D17" s="312"/>
      <c r="E17" s="312"/>
      <c r="F17" s="312"/>
      <c r="G17" s="312"/>
      <c r="H17" s="312">
        <v>5500</v>
      </c>
      <c r="I17" s="312"/>
      <c r="J17" s="312">
        <v>5500</v>
      </c>
    </row>
    <row r="18" spans="1:10">
      <c r="A18" s="308" t="s">
        <v>82</v>
      </c>
      <c r="B18" s="312"/>
      <c r="C18" s="312"/>
      <c r="D18" s="312"/>
      <c r="E18" s="312"/>
      <c r="F18" s="312"/>
      <c r="G18" s="312"/>
      <c r="H18" s="312"/>
      <c r="I18" s="312">
        <v>3500</v>
      </c>
      <c r="J18" s="312">
        <v>3500</v>
      </c>
    </row>
    <row r="19" spans="1:10">
      <c r="A19" s="308" t="s">
        <v>83</v>
      </c>
      <c r="B19" s="312">
        <v>170000</v>
      </c>
      <c r="C19" s="312">
        <v>1600</v>
      </c>
      <c r="D19" s="312">
        <v>25000</v>
      </c>
      <c r="E19" s="312">
        <v>1773021</v>
      </c>
      <c r="F19" s="312">
        <v>262000</v>
      </c>
      <c r="G19" s="312">
        <v>100000</v>
      </c>
      <c r="H19" s="312"/>
      <c r="I19" s="312">
        <v>180000</v>
      </c>
      <c r="J19" s="312">
        <v>2511621</v>
      </c>
    </row>
    <row r="20" spans="1:10">
      <c r="A20" s="308" t="s">
        <v>84</v>
      </c>
      <c r="B20" s="312"/>
      <c r="C20" s="312"/>
      <c r="D20" s="312">
        <v>383000</v>
      </c>
      <c r="E20" s="312"/>
      <c r="F20" s="312"/>
      <c r="G20" s="312"/>
      <c r="H20" s="312"/>
      <c r="I20" s="312"/>
      <c r="J20" s="312">
        <v>383000</v>
      </c>
    </row>
    <row r="21" spans="1:10">
      <c r="A21" s="308" t="s">
        <v>85</v>
      </c>
      <c r="B21" s="312"/>
      <c r="C21" s="312"/>
      <c r="D21" s="312">
        <v>350</v>
      </c>
      <c r="E21" s="312"/>
      <c r="F21" s="312">
        <v>3000</v>
      </c>
      <c r="G21" s="312"/>
      <c r="H21" s="312"/>
      <c r="I21" s="312"/>
      <c r="J21" s="312">
        <v>3350</v>
      </c>
    </row>
    <row r="22" spans="1:10">
      <c r="A22" s="308" t="s">
        <v>86</v>
      </c>
      <c r="B22" s="312">
        <v>35100</v>
      </c>
      <c r="C22" s="312">
        <v>14000</v>
      </c>
      <c r="D22" s="312">
        <v>25000</v>
      </c>
      <c r="E22" s="312">
        <v>218250</v>
      </c>
      <c r="F22" s="312">
        <v>41650</v>
      </c>
      <c r="G22" s="312">
        <v>30000</v>
      </c>
      <c r="H22" s="312">
        <v>3500</v>
      </c>
      <c r="I22" s="312">
        <v>50000</v>
      </c>
      <c r="J22" s="312">
        <v>417500</v>
      </c>
    </row>
    <row r="23" spans="1:10">
      <c r="A23" s="308" t="s">
        <v>87</v>
      </c>
      <c r="B23" s="312"/>
      <c r="C23" s="312"/>
      <c r="D23" s="312"/>
      <c r="E23" s="312"/>
      <c r="F23" s="312"/>
      <c r="G23" s="312"/>
      <c r="H23" s="312"/>
      <c r="I23" s="312"/>
      <c r="J23" s="312"/>
    </row>
    <row r="24" spans="1:10">
      <c r="A24" s="308" t="s">
        <v>88</v>
      </c>
      <c r="B24" s="312">
        <v>0</v>
      </c>
      <c r="C24" s="312">
        <v>0</v>
      </c>
      <c r="D24" s="312"/>
      <c r="E24" s="312"/>
      <c r="F24" s="312"/>
      <c r="G24" s="312"/>
      <c r="H24" s="312">
        <v>50000</v>
      </c>
      <c r="I24" s="312"/>
      <c r="J24" s="312">
        <v>50000</v>
      </c>
    </row>
    <row r="25" spans="1:10">
      <c r="A25" s="308" t="s">
        <v>89</v>
      </c>
      <c r="B25" s="312">
        <v>2200</v>
      </c>
      <c r="C25" s="312">
        <v>300</v>
      </c>
      <c r="D25" s="312">
        <v>4250</v>
      </c>
      <c r="E25" s="312">
        <v>5000</v>
      </c>
      <c r="F25" s="312">
        <v>3500</v>
      </c>
      <c r="G25" s="312">
        <v>500</v>
      </c>
      <c r="H25" s="312">
        <v>8000</v>
      </c>
      <c r="I25" s="312"/>
      <c r="J25" s="312">
        <v>23750</v>
      </c>
    </row>
    <row r="26" spans="1:10">
      <c r="A26" s="308" t="s">
        <v>90</v>
      </c>
      <c r="B26" s="312">
        <v>1800</v>
      </c>
      <c r="C26" s="312">
        <v>1000</v>
      </c>
      <c r="D26" s="312">
        <v>1000</v>
      </c>
      <c r="E26" s="312">
        <v>41228</v>
      </c>
      <c r="F26" s="312">
        <v>12993</v>
      </c>
      <c r="G26" s="312">
        <v>7000</v>
      </c>
      <c r="H26" s="312"/>
      <c r="I26" s="312">
        <v>160000</v>
      </c>
      <c r="J26" s="312">
        <v>225021</v>
      </c>
    </row>
    <row r="27" spans="1:10">
      <c r="A27" s="308" t="s">
        <v>91</v>
      </c>
      <c r="B27" s="312"/>
      <c r="C27" s="312"/>
      <c r="D27" s="312"/>
      <c r="E27" s="312"/>
      <c r="F27" s="312">
        <v>0</v>
      </c>
      <c r="G27" s="312"/>
      <c r="H27" s="312"/>
      <c r="I27" s="312"/>
      <c r="J27" s="312">
        <v>0</v>
      </c>
    </row>
    <row r="28" spans="1:10">
      <c r="A28" s="308" t="s">
        <v>92</v>
      </c>
      <c r="B28" s="312">
        <v>1325000</v>
      </c>
      <c r="C28" s="312"/>
      <c r="D28" s="312"/>
      <c r="E28" s="312"/>
      <c r="F28" s="312"/>
      <c r="G28" s="312"/>
      <c r="H28" s="312"/>
      <c r="I28" s="312"/>
      <c r="J28" s="312">
        <v>1325000</v>
      </c>
    </row>
    <row r="29" spans="1:10">
      <c r="A29" s="308" t="s">
        <v>93</v>
      </c>
      <c r="B29" s="312">
        <v>190000</v>
      </c>
      <c r="C29" s="312"/>
      <c r="D29" s="312"/>
      <c r="E29" s="312"/>
      <c r="F29" s="312">
        <v>0</v>
      </c>
      <c r="G29" s="312"/>
      <c r="H29" s="312"/>
      <c r="I29" s="312"/>
      <c r="J29" s="312">
        <v>190000</v>
      </c>
    </row>
    <row r="30" spans="1:10">
      <c r="A30" s="308" t="s">
        <v>94</v>
      </c>
      <c r="B30" s="312">
        <v>7500</v>
      </c>
      <c r="C30" s="312"/>
      <c r="D30" s="312"/>
      <c r="E30" s="312"/>
      <c r="F30" s="312"/>
      <c r="G30" s="312"/>
      <c r="H30" s="312"/>
      <c r="I30" s="312"/>
      <c r="J30" s="312">
        <v>7500</v>
      </c>
    </row>
    <row r="31" spans="1:10">
      <c r="A31" s="308" t="s">
        <v>95</v>
      </c>
      <c r="B31" s="312"/>
      <c r="C31" s="312"/>
      <c r="D31" s="312"/>
      <c r="E31" s="312"/>
      <c r="F31" s="312"/>
      <c r="G31" s="312"/>
      <c r="H31" s="312"/>
      <c r="I31" s="312"/>
      <c r="J31" s="312"/>
    </row>
    <row r="32" spans="1:10">
      <c r="A32" s="308" t="s">
        <v>96</v>
      </c>
      <c r="B32" s="312"/>
      <c r="C32" s="312"/>
      <c r="D32" s="312"/>
      <c r="E32" s="312"/>
      <c r="F32" s="312"/>
      <c r="G32" s="312"/>
      <c r="H32" s="312">
        <v>175000</v>
      </c>
      <c r="I32" s="312"/>
      <c r="J32" s="312">
        <v>175000</v>
      </c>
    </row>
    <row r="33" spans="1:10">
      <c r="A33" s="308" t="s">
        <v>97</v>
      </c>
      <c r="B33" s="312"/>
      <c r="C33" s="312"/>
      <c r="D33" s="312"/>
      <c r="E33" s="312"/>
      <c r="F33" s="312"/>
      <c r="G33" s="312"/>
      <c r="H33" s="312">
        <v>8500</v>
      </c>
      <c r="I33" s="312"/>
      <c r="J33" s="312">
        <v>8500</v>
      </c>
    </row>
    <row r="34" spans="1:10">
      <c r="A34" s="308" t="s">
        <v>98</v>
      </c>
      <c r="B34" s="312"/>
      <c r="C34" s="312"/>
      <c r="D34" s="312"/>
      <c r="E34" s="312"/>
      <c r="F34" s="312">
        <v>500</v>
      </c>
      <c r="G34" s="312"/>
      <c r="H34" s="312">
        <v>4000</v>
      </c>
      <c r="I34" s="312"/>
      <c r="J34" s="312">
        <v>4500</v>
      </c>
    </row>
    <row r="35" spans="1:10">
      <c r="A35" s="308" t="s">
        <v>99</v>
      </c>
      <c r="B35" s="312"/>
      <c r="C35" s="312"/>
      <c r="D35" s="312"/>
      <c r="E35" s="312"/>
      <c r="F35" s="312">
        <v>4250</v>
      </c>
      <c r="G35" s="312"/>
      <c r="H35" s="312"/>
      <c r="I35" s="312"/>
      <c r="J35" s="312">
        <v>4250</v>
      </c>
    </row>
    <row r="36" spans="1:10">
      <c r="A36" s="308" t="s">
        <v>100</v>
      </c>
      <c r="B36" s="312"/>
      <c r="C36" s="312"/>
      <c r="D36" s="312"/>
      <c r="E36" s="312"/>
      <c r="F36" s="312"/>
      <c r="G36" s="312"/>
      <c r="H36" s="312">
        <v>1000</v>
      </c>
      <c r="I36" s="312"/>
      <c r="J36" s="312">
        <v>1000</v>
      </c>
    </row>
    <row r="37" spans="1:10">
      <c r="A37" s="308" t="s">
        <v>101</v>
      </c>
      <c r="B37" s="312"/>
      <c r="C37" s="312"/>
      <c r="D37" s="312"/>
      <c r="E37" s="312">
        <v>17000</v>
      </c>
      <c r="F37" s="312"/>
      <c r="G37" s="312"/>
      <c r="H37" s="312"/>
      <c r="I37" s="312"/>
      <c r="J37" s="312">
        <v>17000</v>
      </c>
    </row>
    <row r="38" spans="1:10">
      <c r="A38" s="308" t="s">
        <v>102</v>
      </c>
      <c r="B38" s="312"/>
      <c r="C38" s="312"/>
      <c r="D38" s="312"/>
      <c r="E38" s="312">
        <v>177870</v>
      </c>
      <c r="F38" s="312"/>
      <c r="G38" s="312"/>
      <c r="H38" s="312"/>
      <c r="I38" s="312"/>
      <c r="J38" s="312">
        <v>177870</v>
      </c>
    </row>
    <row r="39" spans="1:10">
      <c r="A39" s="308" t="s">
        <v>103</v>
      </c>
      <c r="B39" s="312"/>
      <c r="C39" s="312"/>
      <c r="D39" s="312"/>
      <c r="E39" s="312"/>
      <c r="F39" s="312"/>
      <c r="G39" s="312"/>
      <c r="H39" s="312">
        <v>9000</v>
      </c>
      <c r="I39" s="312"/>
      <c r="J39" s="312">
        <v>9000</v>
      </c>
    </row>
    <row r="40" spans="1:10">
      <c r="A40" s="308" t="s">
        <v>104</v>
      </c>
      <c r="B40" s="312"/>
      <c r="C40" s="312"/>
      <c r="D40" s="312"/>
      <c r="E40" s="312">
        <v>10010</v>
      </c>
      <c r="F40" s="312"/>
      <c r="G40" s="312"/>
      <c r="H40" s="312"/>
      <c r="I40" s="312"/>
      <c r="J40" s="312">
        <v>10010</v>
      </c>
    </row>
    <row r="41" spans="1:10">
      <c r="A41" s="308" t="s">
        <v>105</v>
      </c>
      <c r="B41" s="312"/>
      <c r="C41" s="312"/>
      <c r="D41" s="312"/>
      <c r="E41" s="312"/>
      <c r="F41" s="312"/>
      <c r="G41" s="312"/>
      <c r="H41" s="312">
        <v>10000</v>
      </c>
      <c r="I41" s="312"/>
      <c r="J41" s="312">
        <v>10000</v>
      </c>
    </row>
    <row r="42" spans="1:10">
      <c r="A42" s="308" t="s">
        <v>106</v>
      </c>
      <c r="B42" s="312">
        <v>145000</v>
      </c>
      <c r="C42" s="312">
        <v>21000</v>
      </c>
      <c r="D42" s="312">
        <v>2000</v>
      </c>
      <c r="E42" s="312">
        <v>1949755</v>
      </c>
      <c r="F42" s="312">
        <v>5500</v>
      </c>
      <c r="G42" s="312">
        <v>3000</v>
      </c>
      <c r="H42" s="312">
        <v>8000</v>
      </c>
      <c r="I42" s="312">
        <v>40000</v>
      </c>
      <c r="J42" s="312">
        <v>2174255</v>
      </c>
    </row>
    <row r="43" spans="1:10">
      <c r="A43" s="308" t="s">
        <v>107</v>
      </c>
      <c r="B43" s="312"/>
      <c r="C43" s="312"/>
      <c r="D43" s="312"/>
      <c r="E43" s="312"/>
      <c r="F43" s="312">
        <v>0</v>
      </c>
      <c r="G43" s="312"/>
      <c r="H43" s="312"/>
      <c r="I43" s="312"/>
      <c r="J43" s="312">
        <v>0</v>
      </c>
    </row>
    <row r="44" spans="1:10">
      <c r="A44" s="308" t="s">
        <v>108</v>
      </c>
      <c r="B44" s="312"/>
      <c r="C44" s="312"/>
      <c r="D44" s="312"/>
      <c r="E44" s="312">
        <v>1277455</v>
      </c>
      <c r="F44" s="312">
        <v>0</v>
      </c>
      <c r="G44" s="312"/>
      <c r="H44" s="312"/>
      <c r="I44" s="312"/>
      <c r="J44" s="312">
        <v>1277455</v>
      </c>
    </row>
    <row r="45" spans="1:10">
      <c r="A45" s="308" t="s">
        <v>109</v>
      </c>
      <c r="B45" s="312"/>
      <c r="C45" s="312"/>
      <c r="D45" s="312"/>
      <c r="E45" s="312"/>
      <c r="F45" s="312"/>
      <c r="G45" s="312"/>
      <c r="H45" s="312">
        <v>3500</v>
      </c>
      <c r="I45" s="312"/>
      <c r="J45" s="312">
        <v>3500</v>
      </c>
    </row>
    <row r="46" spans="1:10">
      <c r="A46" s="308" t="s">
        <v>110</v>
      </c>
      <c r="B46" s="312"/>
      <c r="C46" s="312"/>
      <c r="D46" s="312"/>
      <c r="E46" s="312"/>
      <c r="F46" s="312"/>
      <c r="G46" s="312"/>
      <c r="H46" s="312">
        <v>10000</v>
      </c>
      <c r="I46" s="312"/>
      <c r="J46" s="312">
        <v>10000</v>
      </c>
    </row>
    <row r="47" spans="1:10">
      <c r="A47" s="308" t="s">
        <v>111</v>
      </c>
      <c r="B47" s="312">
        <v>0</v>
      </c>
      <c r="C47" s="312"/>
      <c r="D47" s="312"/>
      <c r="E47" s="312"/>
      <c r="F47" s="312"/>
      <c r="G47" s="312"/>
      <c r="H47" s="312">
        <v>60000</v>
      </c>
      <c r="I47" s="312"/>
      <c r="J47" s="312">
        <v>60000</v>
      </c>
    </row>
    <row r="48" spans="1:10">
      <c r="A48" s="308" t="s">
        <v>112</v>
      </c>
      <c r="B48" s="312"/>
      <c r="C48" s="312"/>
      <c r="D48" s="312"/>
      <c r="E48" s="312"/>
      <c r="F48" s="312"/>
      <c r="G48" s="312"/>
      <c r="H48" s="312">
        <v>4000</v>
      </c>
      <c r="I48" s="312"/>
      <c r="J48" s="312">
        <v>4000</v>
      </c>
    </row>
    <row r="49" spans="1:10">
      <c r="A49" s="308" t="s">
        <v>113</v>
      </c>
      <c r="B49" s="312"/>
      <c r="C49" s="312"/>
      <c r="D49" s="312"/>
      <c r="E49" s="312">
        <v>331198</v>
      </c>
      <c r="F49" s="312"/>
      <c r="G49" s="312"/>
      <c r="H49" s="312"/>
      <c r="I49" s="312"/>
      <c r="J49" s="312">
        <v>331198</v>
      </c>
    </row>
    <row r="50" spans="1:10">
      <c r="A50" s="308" t="s">
        <v>114</v>
      </c>
      <c r="B50" s="312">
        <v>0</v>
      </c>
      <c r="C50" s="312"/>
      <c r="D50" s="312"/>
      <c r="E50" s="312">
        <v>17678</v>
      </c>
      <c r="F50" s="312"/>
      <c r="G50" s="312"/>
      <c r="H50" s="312">
        <v>50500</v>
      </c>
      <c r="I50" s="312"/>
      <c r="J50" s="312">
        <v>68178</v>
      </c>
    </row>
    <row r="51" spans="1:10">
      <c r="A51" s="308" t="s">
        <v>115</v>
      </c>
      <c r="B51" s="312"/>
      <c r="C51" s="312"/>
      <c r="D51" s="312"/>
      <c r="E51" s="312"/>
      <c r="F51" s="312"/>
      <c r="G51" s="312"/>
      <c r="H51" s="312"/>
      <c r="I51" s="312"/>
      <c r="J51" s="312"/>
    </row>
    <row r="52" spans="1:10">
      <c r="A52" s="308" t="s">
        <v>116</v>
      </c>
      <c r="B52" s="312">
        <v>100</v>
      </c>
      <c r="C52" s="312"/>
      <c r="D52" s="312"/>
      <c r="E52" s="312">
        <v>11718</v>
      </c>
      <c r="F52" s="312"/>
      <c r="G52" s="312"/>
      <c r="H52" s="312"/>
      <c r="I52" s="312"/>
      <c r="J52" s="312">
        <v>11818</v>
      </c>
    </row>
    <row r="53" spans="1:10">
      <c r="A53" s="308" t="s">
        <v>117</v>
      </c>
      <c r="B53" s="312">
        <v>95000</v>
      </c>
      <c r="C53" s="312"/>
      <c r="D53" s="312"/>
      <c r="E53" s="312"/>
      <c r="F53" s="312"/>
      <c r="G53" s="312"/>
      <c r="H53" s="312"/>
      <c r="I53" s="312"/>
      <c r="J53" s="312">
        <v>95000</v>
      </c>
    </row>
    <row r="54" spans="1:10">
      <c r="A54" s="308" t="s">
        <v>118</v>
      </c>
      <c r="B54" s="312"/>
      <c r="C54" s="312"/>
      <c r="D54" s="312"/>
      <c r="E54" s="312"/>
      <c r="F54" s="312"/>
      <c r="G54" s="312"/>
      <c r="H54" s="312"/>
      <c r="I54" s="312">
        <v>250000</v>
      </c>
      <c r="J54" s="312">
        <v>250000</v>
      </c>
    </row>
    <row r="55" spans="1:10">
      <c r="A55" s="308" t="s">
        <v>119</v>
      </c>
      <c r="B55" s="312"/>
      <c r="C55" s="312"/>
      <c r="D55" s="312"/>
      <c r="E55" s="312">
        <v>500</v>
      </c>
      <c r="F55" s="312"/>
      <c r="G55" s="312">
        <v>250000</v>
      </c>
      <c r="H55" s="312"/>
      <c r="I55" s="312"/>
      <c r="J55" s="312">
        <v>250500</v>
      </c>
    </row>
    <row r="56" spans="1:10">
      <c r="A56" s="308" t="s">
        <v>120</v>
      </c>
      <c r="B56" s="312"/>
      <c r="C56" s="312"/>
      <c r="D56" s="312"/>
      <c r="E56" s="312"/>
      <c r="F56" s="312"/>
      <c r="G56" s="312"/>
      <c r="H56" s="312"/>
      <c r="I56" s="312"/>
      <c r="J56" s="312"/>
    </row>
    <row r="57" spans="1:10">
      <c r="A57" s="308" t="s">
        <v>121</v>
      </c>
      <c r="B57" s="312"/>
      <c r="C57" s="312"/>
      <c r="D57" s="312"/>
      <c r="E57" s="312"/>
      <c r="F57" s="312">
        <v>0</v>
      </c>
      <c r="G57" s="312"/>
      <c r="H57" s="312"/>
      <c r="I57" s="312"/>
      <c r="J57" s="312">
        <v>0</v>
      </c>
    </row>
    <row r="58" spans="1:10">
      <c r="A58" s="308" t="s">
        <v>122</v>
      </c>
      <c r="B58" s="312"/>
      <c r="C58" s="312"/>
      <c r="D58" s="312">
        <v>0</v>
      </c>
      <c r="E58" s="312"/>
      <c r="F58" s="312">
        <v>0</v>
      </c>
      <c r="G58" s="312"/>
      <c r="H58" s="312"/>
      <c r="I58" s="312"/>
      <c r="J58" s="312">
        <v>0</v>
      </c>
    </row>
    <row r="59" spans="1:10">
      <c r="A59" s="308" t="s">
        <v>123</v>
      </c>
      <c r="B59" s="312"/>
      <c r="C59" s="312"/>
      <c r="D59" s="312"/>
      <c r="E59" s="312"/>
      <c r="F59" s="312">
        <v>60000</v>
      </c>
      <c r="G59" s="312"/>
      <c r="H59" s="312"/>
      <c r="I59" s="312"/>
      <c r="J59" s="312">
        <v>60000</v>
      </c>
    </row>
    <row r="60" spans="1:10">
      <c r="A60" s="308" t="s">
        <v>124</v>
      </c>
      <c r="B60" s="312"/>
      <c r="C60" s="312"/>
      <c r="D60" s="312"/>
      <c r="E60" s="312"/>
      <c r="F60" s="312">
        <v>20000</v>
      </c>
      <c r="G60" s="312"/>
      <c r="H60" s="312"/>
      <c r="I60" s="312"/>
      <c r="J60" s="312">
        <v>20000</v>
      </c>
    </row>
    <row r="61" spans="1:10">
      <c r="A61" s="308" t="s">
        <v>125</v>
      </c>
      <c r="B61" s="312">
        <v>200</v>
      </c>
      <c r="C61" s="312"/>
      <c r="D61" s="312">
        <v>0</v>
      </c>
      <c r="E61" s="312">
        <v>0</v>
      </c>
      <c r="F61" s="312">
        <v>200</v>
      </c>
      <c r="G61" s="312"/>
      <c r="H61" s="312">
        <v>45000</v>
      </c>
      <c r="I61" s="312"/>
      <c r="J61" s="312">
        <v>45400</v>
      </c>
    </row>
    <row r="62" spans="1:10">
      <c r="A62" s="308" t="s">
        <v>126</v>
      </c>
      <c r="B62" s="312">
        <v>185000</v>
      </c>
      <c r="C62" s="312"/>
      <c r="D62" s="312"/>
      <c r="E62" s="312"/>
      <c r="F62" s="312"/>
      <c r="G62" s="312"/>
      <c r="H62" s="312"/>
      <c r="I62" s="312"/>
      <c r="J62" s="312">
        <v>185000</v>
      </c>
    </row>
    <row r="63" spans="1:10">
      <c r="A63" s="308" t="s">
        <v>127</v>
      </c>
      <c r="B63" s="312">
        <v>21900</v>
      </c>
      <c r="C63" s="312"/>
      <c r="D63" s="312"/>
      <c r="E63" s="312"/>
      <c r="F63" s="312"/>
      <c r="G63" s="312"/>
      <c r="H63" s="312"/>
      <c r="I63" s="312"/>
      <c r="J63" s="312">
        <v>21900</v>
      </c>
    </row>
    <row r="64" spans="1:10">
      <c r="A64" s="308" t="s">
        <v>128</v>
      </c>
      <c r="B64" s="312"/>
      <c r="C64" s="312"/>
      <c r="D64" s="312"/>
      <c r="E64" s="312"/>
      <c r="F64" s="312"/>
      <c r="G64" s="312"/>
      <c r="H64" s="312"/>
      <c r="I64" s="312"/>
      <c r="J64" s="312"/>
    </row>
    <row r="65" spans="1:10">
      <c r="A65" s="308" t="s">
        <v>129</v>
      </c>
      <c r="B65" s="312"/>
      <c r="C65" s="312"/>
      <c r="D65" s="312"/>
      <c r="E65" s="312"/>
      <c r="F65" s="312"/>
      <c r="G65" s="312"/>
      <c r="H65" s="312"/>
      <c r="I65" s="312"/>
      <c r="J65" s="312"/>
    </row>
    <row r="66" spans="1:10">
      <c r="A66" s="308" t="s">
        <v>130</v>
      </c>
      <c r="B66" s="312"/>
      <c r="C66" s="312"/>
      <c r="D66" s="312"/>
      <c r="E66" s="312"/>
      <c r="F66" s="312">
        <v>0</v>
      </c>
      <c r="G66" s="312"/>
      <c r="H66" s="312"/>
      <c r="I66" s="312"/>
      <c r="J66" s="312">
        <v>0</v>
      </c>
    </row>
    <row r="67" spans="1:10">
      <c r="A67" s="308" t="s">
        <v>131</v>
      </c>
      <c r="B67" s="312">
        <v>3000</v>
      </c>
      <c r="C67" s="312"/>
      <c r="D67" s="312"/>
      <c r="E67" s="312">
        <v>5000</v>
      </c>
      <c r="F67" s="312">
        <v>120000</v>
      </c>
      <c r="G67" s="312">
        <v>500</v>
      </c>
      <c r="H67" s="312"/>
      <c r="I67" s="312"/>
      <c r="J67" s="312">
        <v>128500</v>
      </c>
    </row>
    <row r="68" spans="1:10">
      <c r="A68" s="308" t="s">
        <v>132</v>
      </c>
      <c r="B68" s="312"/>
      <c r="C68" s="312"/>
      <c r="D68" s="312"/>
      <c r="E68" s="312"/>
      <c r="F68" s="312">
        <v>5000</v>
      </c>
      <c r="G68" s="312"/>
      <c r="H68" s="312">
        <v>5000</v>
      </c>
      <c r="I68" s="312"/>
      <c r="J68" s="312">
        <v>10000</v>
      </c>
    </row>
    <row r="69" spans="1:10">
      <c r="A69" s="308" t="s">
        <v>133</v>
      </c>
      <c r="B69" s="312"/>
      <c r="C69" s="312"/>
      <c r="D69" s="312"/>
      <c r="E69" s="312"/>
      <c r="F69" s="312"/>
      <c r="G69" s="312"/>
      <c r="H69" s="312"/>
      <c r="I69" s="312"/>
      <c r="J69" s="312"/>
    </row>
    <row r="70" spans="1:10">
      <c r="A70" s="308" t="s">
        <v>134</v>
      </c>
      <c r="B70" s="312"/>
      <c r="C70" s="312"/>
      <c r="D70" s="312"/>
      <c r="E70" s="312"/>
      <c r="F70" s="312"/>
      <c r="G70" s="312"/>
      <c r="H70" s="312"/>
      <c r="I70" s="312"/>
      <c r="J70" s="312"/>
    </row>
    <row r="71" spans="1:10">
      <c r="A71" s="308" t="s">
        <v>135</v>
      </c>
      <c r="B71" s="312">
        <v>35000</v>
      </c>
      <c r="C71" s="312"/>
      <c r="D71" s="312"/>
      <c r="E71" s="312">
        <v>500</v>
      </c>
      <c r="F71" s="312"/>
      <c r="G71" s="312"/>
      <c r="H71" s="312">
        <v>100</v>
      </c>
      <c r="I71" s="312"/>
      <c r="J71" s="312">
        <v>35600</v>
      </c>
    </row>
    <row r="72" spans="1:10">
      <c r="A72" s="308" t="s">
        <v>136</v>
      </c>
      <c r="B72" s="312">
        <v>31900</v>
      </c>
      <c r="C72" s="312"/>
      <c r="D72" s="312"/>
      <c r="E72" s="312">
        <v>41000</v>
      </c>
      <c r="F72" s="312">
        <v>26000</v>
      </c>
      <c r="G72" s="312"/>
      <c r="H72" s="312">
        <v>7500</v>
      </c>
      <c r="I72" s="312"/>
      <c r="J72" s="312">
        <v>106400</v>
      </c>
    </row>
    <row r="73" spans="1:10">
      <c r="A73" s="308" t="s">
        <v>137</v>
      </c>
      <c r="B73" s="312">
        <v>0</v>
      </c>
      <c r="C73" s="312"/>
      <c r="D73" s="312"/>
      <c r="E73" s="312"/>
      <c r="F73" s="312"/>
      <c r="G73" s="312"/>
      <c r="H73" s="312"/>
      <c r="I73" s="312"/>
      <c r="J73" s="312">
        <v>0</v>
      </c>
    </row>
    <row r="74" spans="1:10">
      <c r="A74" s="308" t="s">
        <v>138</v>
      </c>
      <c r="B74" s="312"/>
      <c r="C74" s="312"/>
      <c r="D74" s="312"/>
      <c r="E74" s="312"/>
      <c r="F74" s="312"/>
      <c r="G74" s="312"/>
      <c r="H74" s="312">
        <v>-275511</v>
      </c>
      <c r="I74" s="312"/>
      <c r="J74" s="312">
        <v>-275511</v>
      </c>
    </row>
    <row r="75" spans="1:10">
      <c r="A75" s="308" t="s">
        <v>139</v>
      </c>
      <c r="B75" s="312"/>
      <c r="C75" s="312"/>
      <c r="D75" s="312"/>
      <c r="E75" s="312"/>
      <c r="F75" s="312"/>
      <c r="G75" s="312"/>
      <c r="H75" s="312">
        <v>30000</v>
      </c>
      <c r="I75" s="312"/>
      <c r="J75" s="312">
        <v>30000</v>
      </c>
    </row>
    <row r="76" spans="1:10">
      <c r="A76" s="308" t="s">
        <v>140</v>
      </c>
      <c r="B76" s="312"/>
      <c r="C76" s="312"/>
      <c r="D76" s="312"/>
      <c r="E76" s="312"/>
      <c r="F76" s="312"/>
      <c r="G76" s="312"/>
      <c r="H76" s="312"/>
      <c r="I76" s="312"/>
      <c r="J76" s="312"/>
    </row>
    <row r="77" spans="1:10">
      <c r="A77" s="308" t="s">
        <v>141</v>
      </c>
      <c r="B77" s="312"/>
      <c r="C77" s="312"/>
      <c r="D77" s="312">
        <v>0</v>
      </c>
      <c r="E77" s="312"/>
      <c r="F77" s="312"/>
      <c r="G77" s="312"/>
      <c r="H77" s="312"/>
      <c r="I77" s="312"/>
      <c r="J77" s="312">
        <v>0</v>
      </c>
    </row>
    <row r="78" spans="1:10">
      <c r="A78" s="308" t="s">
        <v>142</v>
      </c>
      <c r="B78" s="312">
        <v>5000</v>
      </c>
      <c r="C78" s="312">
        <v>1000</v>
      </c>
      <c r="D78" s="312">
        <v>5000</v>
      </c>
      <c r="E78" s="312">
        <v>101900</v>
      </c>
      <c r="F78" s="312">
        <v>15000</v>
      </c>
      <c r="G78" s="312"/>
      <c r="H78" s="312">
        <v>4000</v>
      </c>
      <c r="I78" s="312"/>
      <c r="J78" s="312">
        <v>131900</v>
      </c>
    </row>
    <row r="79" spans="1:10">
      <c r="A79" s="308" t="s">
        <v>143</v>
      </c>
      <c r="B79" s="312"/>
      <c r="C79" s="312"/>
      <c r="D79" s="312"/>
      <c r="E79" s="312">
        <v>683500</v>
      </c>
      <c r="F79" s="312">
        <v>2000</v>
      </c>
      <c r="G79" s="312"/>
      <c r="H79" s="312">
        <v>15000</v>
      </c>
      <c r="I79" s="312"/>
      <c r="J79" s="312">
        <v>700500</v>
      </c>
    </row>
    <row r="80" spans="1:10">
      <c r="A80" s="308" t="s">
        <v>144</v>
      </c>
      <c r="B80" s="312"/>
      <c r="C80" s="312"/>
      <c r="D80" s="312"/>
      <c r="E80" s="312"/>
      <c r="F80" s="312"/>
      <c r="G80" s="312"/>
      <c r="H80" s="312">
        <v>0</v>
      </c>
      <c r="I80" s="312"/>
      <c r="J80" s="312">
        <v>0</v>
      </c>
    </row>
    <row r="81" spans="1:10">
      <c r="A81" s="308" t="s">
        <v>145</v>
      </c>
      <c r="B81" s="312"/>
      <c r="C81" s="312"/>
      <c r="D81" s="312">
        <v>0</v>
      </c>
      <c r="E81" s="312"/>
      <c r="F81" s="312">
        <v>0</v>
      </c>
      <c r="G81" s="312"/>
      <c r="H81" s="312">
        <v>6000</v>
      </c>
      <c r="I81" s="312"/>
      <c r="J81" s="312">
        <v>6000</v>
      </c>
    </row>
    <row r="82" spans="1:10">
      <c r="A82" s="308" t="s">
        <v>146</v>
      </c>
      <c r="B82" s="312"/>
      <c r="C82" s="312"/>
      <c r="D82" s="312"/>
      <c r="E82" s="312"/>
      <c r="F82" s="312"/>
      <c r="G82" s="312"/>
      <c r="H82" s="312"/>
      <c r="I82" s="312"/>
      <c r="J82" s="312"/>
    </row>
    <row r="83" spans="1:10">
      <c r="A83" s="308" t="s">
        <v>147</v>
      </c>
      <c r="B83" s="312"/>
      <c r="C83" s="312"/>
      <c r="D83" s="312"/>
      <c r="E83" s="312"/>
      <c r="F83" s="312"/>
      <c r="G83" s="312"/>
      <c r="H83" s="312">
        <v>20000</v>
      </c>
      <c r="I83" s="312"/>
      <c r="J83" s="312">
        <v>20000</v>
      </c>
    </row>
    <row r="84" spans="1:10">
      <c r="A84" s="308" t="s">
        <v>148</v>
      </c>
      <c r="B84" s="312">
        <v>5000</v>
      </c>
      <c r="C84" s="312"/>
      <c r="D84" s="312"/>
      <c r="E84" s="312"/>
      <c r="F84" s="312"/>
      <c r="G84" s="312"/>
      <c r="H84" s="312"/>
      <c r="I84" s="312"/>
      <c r="J84" s="312">
        <v>5000</v>
      </c>
    </row>
    <row r="85" spans="1:10">
      <c r="A85" s="308" t="s">
        <v>149</v>
      </c>
      <c r="B85" s="312"/>
      <c r="C85" s="312"/>
      <c r="D85" s="312"/>
      <c r="E85" s="312"/>
      <c r="F85" s="312"/>
      <c r="G85" s="312"/>
      <c r="H85" s="312"/>
      <c r="I85" s="312"/>
      <c r="J85" s="312"/>
    </row>
    <row r="86" spans="1:10">
      <c r="A86" s="308" t="s">
        <v>150</v>
      </c>
      <c r="B86" s="312">
        <v>1185000</v>
      </c>
      <c r="C86" s="312"/>
      <c r="D86" s="312"/>
      <c r="E86" s="312"/>
      <c r="F86" s="312"/>
      <c r="G86" s="312"/>
      <c r="H86" s="312"/>
      <c r="I86" s="312"/>
      <c r="J86" s="312">
        <v>1185000</v>
      </c>
    </row>
    <row r="87" spans="1:10">
      <c r="A87" s="308" t="s">
        <v>151</v>
      </c>
      <c r="B87" s="312">
        <v>4545964</v>
      </c>
      <c r="C87" s="312"/>
      <c r="D87" s="312"/>
      <c r="E87" s="312"/>
      <c r="F87" s="312"/>
      <c r="G87" s="312"/>
      <c r="H87" s="312"/>
      <c r="I87" s="312"/>
      <c r="J87" s="312">
        <v>4545964</v>
      </c>
    </row>
    <row r="88" spans="1:10">
      <c r="A88" s="308" t="s">
        <v>152</v>
      </c>
      <c r="B88" s="312">
        <v>0</v>
      </c>
      <c r="C88" s="312"/>
      <c r="D88" s="312"/>
      <c r="E88" s="312"/>
      <c r="F88" s="312"/>
      <c r="G88" s="312"/>
      <c r="H88" s="312"/>
      <c r="I88" s="312"/>
      <c r="J88" s="312">
        <v>0</v>
      </c>
    </row>
    <row r="89" spans="1:10">
      <c r="A89" s="308" t="s">
        <v>153</v>
      </c>
      <c r="B89" s="312">
        <v>255000</v>
      </c>
      <c r="C89" s="312"/>
      <c r="D89" s="312"/>
      <c r="E89" s="312"/>
      <c r="F89" s="312"/>
      <c r="G89" s="312"/>
      <c r="H89" s="312"/>
      <c r="I89" s="312"/>
      <c r="J89" s="312">
        <v>255000</v>
      </c>
    </row>
    <row r="90" spans="1:10">
      <c r="A90" s="308" t="s">
        <v>63</v>
      </c>
      <c r="B90" s="312">
        <v>8279642.4900000002</v>
      </c>
      <c r="C90" s="312">
        <v>39800</v>
      </c>
      <c r="D90" s="312">
        <v>458000</v>
      </c>
      <c r="E90" s="312">
        <v>6694383</v>
      </c>
      <c r="F90" s="312">
        <v>673203</v>
      </c>
      <c r="G90" s="312">
        <v>406000</v>
      </c>
      <c r="H90" s="312">
        <v>319789</v>
      </c>
      <c r="I90" s="312">
        <v>683500</v>
      </c>
      <c r="J90" s="312">
        <v>17554317.490000002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AF469-B046-4470-90EA-0605F8228F8C}">
  <sheetPr>
    <tabColor rgb="FF00B050"/>
  </sheetPr>
  <dimension ref="A3:T374"/>
  <sheetViews>
    <sheetView zoomScale="120" zoomScaleNormal="120" workbookViewId="0">
      <pane xSplit="6" ySplit="4" topLeftCell="O307" activePane="bottomRight" state="frozen"/>
      <selection pane="bottomRight" activeCell="Q316" sqref="Q316"/>
      <selection pane="bottomLeft" activeCell="A5" sqref="A5"/>
      <selection pane="topRight" activeCell="G1" sqref="G1"/>
    </sheetView>
  </sheetViews>
  <sheetFormatPr defaultRowHeight="12.75"/>
  <cols>
    <col min="3" max="3" width="13.140625" style="4" bestFit="1" customWidth="1"/>
    <col min="5" max="5" width="28.140625" bestFit="1" customWidth="1"/>
    <col min="7" max="7" width="28.42578125" bestFit="1" customWidth="1"/>
    <col min="11" max="11" width="12.140625" bestFit="1" customWidth="1"/>
    <col min="12" max="12" width="12.7109375" bestFit="1" customWidth="1"/>
    <col min="13" max="13" width="12.140625" bestFit="1" customWidth="1"/>
    <col min="14" max="14" width="12.7109375" bestFit="1" customWidth="1"/>
    <col min="15" max="15" width="12.5703125" style="337" bestFit="1" customWidth="1"/>
    <col min="16" max="16" width="12.7109375" bestFit="1" customWidth="1"/>
    <col min="17" max="17" width="13.5703125" style="120" bestFit="1" customWidth="1"/>
    <col min="18" max="18" width="14.140625" style="120" bestFit="1" customWidth="1"/>
    <col min="19" max="19" width="14.140625" customWidth="1"/>
    <col min="20" max="21" width="10.85546875" bestFit="1" customWidth="1"/>
  </cols>
  <sheetData>
    <row r="3" spans="1:19" ht="13.5" thickBot="1">
      <c r="A3" s="308"/>
      <c r="B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P3" s="308"/>
      <c r="S3" s="308"/>
    </row>
    <row r="4" spans="1:19" ht="23.25" thickBot="1">
      <c r="A4" s="154" t="s">
        <v>154</v>
      </c>
      <c r="B4" s="154" t="s">
        <v>66</v>
      </c>
      <c r="C4" s="155" t="s">
        <v>155</v>
      </c>
      <c r="D4" s="154" t="s">
        <v>156</v>
      </c>
      <c r="E4" s="154" t="s">
        <v>157</v>
      </c>
      <c r="F4" s="154" t="s">
        <v>68</v>
      </c>
      <c r="G4" s="154" t="s">
        <v>158</v>
      </c>
      <c r="H4" s="154" t="s">
        <v>159</v>
      </c>
      <c r="I4" s="154" t="s">
        <v>160</v>
      </c>
      <c r="J4" s="154" t="s">
        <v>161</v>
      </c>
      <c r="K4" s="156" t="s">
        <v>162</v>
      </c>
      <c r="L4" s="157" t="s">
        <v>163</v>
      </c>
      <c r="M4" s="156" t="s">
        <v>164</v>
      </c>
      <c r="N4" s="157" t="s">
        <v>165</v>
      </c>
      <c r="O4" s="338" t="s">
        <v>166</v>
      </c>
      <c r="P4" s="157" t="s">
        <v>167</v>
      </c>
      <c r="Q4" s="129" t="s">
        <v>168</v>
      </c>
      <c r="R4" s="130" t="s">
        <v>169</v>
      </c>
      <c r="S4" s="308" t="s">
        <v>170</v>
      </c>
    </row>
    <row r="5" spans="1:19" ht="13.5" thickBot="1">
      <c r="A5" s="5" t="s">
        <v>64</v>
      </c>
      <c r="B5" s="6" t="s">
        <v>53</v>
      </c>
      <c r="C5" s="12" t="s">
        <v>171</v>
      </c>
      <c r="D5" s="7" t="s">
        <v>172</v>
      </c>
      <c r="E5" s="7" t="s">
        <v>173</v>
      </c>
      <c r="F5" s="7" t="s">
        <v>75</v>
      </c>
      <c r="G5" s="7" t="s">
        <v>174</v>
      </c>
      <c r="H5" s="7" t="s">
        <v>175</v>
      </c>
      <c r="I5" s="158"/>
      <c r="J5" s="158"/>
      <c r="K5" s="8">
        <v>250</v>
      </c>
      <c r="L5" s="9">
        <v>590.75</v>
      </c>
      <c r="M5" s="8">
        <v>250</v>
      </c>
      <c r="N5" s="9">
        <v>0</v>
      </c>
      <c r="O5" s="339">
        <v>200</v>
      </c>
      <c r="P5" s="9">
        <v>0</v>
      </c>
      <c r="Q5" s="122">
        <v>100</v>
      </c>
      <c r="R5" s="120">
        <v>100</v>
      </c>
      <c r="S5" s="308"/>
    </row>
    <row r="6" spans="1:19" ht="13.5" thickBot="1">
      <c r="A6" s="5" t="s">
        <v>64</v>
      </c>
      <c r="B6" s="6" t="s">
        <v>53</v>
      </c>
      <c r="C6" s="12" t="s">
        <v>171</v>
      </c>
      <c r="D6" s="7" t="s">
        <v>172</v>
      </c>
      <c r="E6" s="7" t="s">
        <v>173</v>
      </c>
      <c r="F6" s="7" t="s">
        <v>78</v>
      </c>
      <c r="G6" s="7" t="s">
        <v>176</v>
      </c>
      <c r="H6" s="7" t="s">
        <v>175</v>
      </c>
      <c r="I6" s="158"/>
      <c r="J6" s="158"/>
      <c r="K6" s="8">
        <v>1000</v>
      </c>
      <c r="L6" s="9">
        <v>408.5</v>
      </c>
      <c r="M6" s="8">
        <v>1000</v>
      </c>
      <c r="N6" s="9">
        <v>78.459999999999994</v>
      </c>
      <c r="O6" s="339">
        <v>700</v>
      </c>
      <c r="P6" s="9">
        <v>283.74</v>
      </c>
      <c r="Q6" s="122">
        <v>200</v>
      </c>
      <c r="R6" s="120">
        <v>200</v>
      </c>
      <c r="S6" s="308" t="s">
        <v>177</v>
      </c>
    </row>
    <row r="7" spans="1:19" ht="13.5" thickBot="1">
      <c r="A7" s="5" t="s">
        <v>64</v>
      </c>
      <c r="B7" s="6" t="s">
        <v>53</v>
      </c>
      <c r="C7" s="12" t="s">
        <v>171</v>
      </c>
      <c r="D7" s="7" t="s">
        <v>172</v>
      </c>
      <c r="E7" s="7" t="s">
        <v>173</v>
      </c>
      <c r="F7" s="7" t="s">
        <v>83</v>
      </c>
      <c r="G7" s="7" t="s">
        <v>178</v>
      </c>
      <c r="H7" s="7" t="s">
        <v>175</v>
      </c>
      <c r="I7" s="158"/>
      <c r="J7" s="158"/>
      <c r="K7" s="8">
        <v>11000</v>
      </c>
      <c r="L7" s="9">
        <v>4617.25</v>
      </c>
      <c r="M7" s="8">
        <v>2000</v>
      </c>
      <c r="N7" s="9">
        <v>120</v>
      </c>
      <c r="O7" s="339">
        <v>1600</v>
      </c>
      <c r="P7" s="9">
        <v>0</v>
      </c>
      <c r="Q7" s="122">
        <v>1600</v>
      </c>
      <c r="R7" s="120">
        <v>1600</v>
      </c>
      <c r="S7" s="308"/>
    </row>
    <row r="8" spans="1:19" ht="13.5" thickBot="1">
      <c r="A8" s="5" t="s">
        <v>64</v>
      </c>
      <c r="B8" s="6" t="s">
        <v>53</v>
      </c>
      <c r="C8" s="12" t="s">
        <v>171</v>
      </c>
      <c r="D8" s="7" t="s">
        <v>172</v>
      </c>
      <c r="E8" s="7" t="s">
        <v>173</v>
      </c>
      <c r="F8" s="7" t="s">
        <v>86</v>
      </c>
      <c r="G8" s="7" t="s">
        <v>179</v>
      </c>
      <c r="H8" s="7" t="s">
        <v>175</v>
      </c>
      <c r="I8" s="158"/>
      <c r="J8" s="158"/>
      <c r="K8" s="8">
        <v>9000</v>
      </c>
      <c r="L8" s="9">
        <v>6657.84</v>
      </c>
      <c r="M8" s="8">
        <v>28000</v>
      </c>
      <c r="N8" s="9">
        <v>14431.8</v>
      </c>
      <c r="O8" s="339">
        <v>14000</v>
      </c>
      <c r="P8" s="9">
        <v>0</v>
      </c>
      <c r="Q8" s="123">
        <v>13206</v>
      </c>
      <c r="R8" s="120">
        <v>12410</v>
      </c>
      <c r="S8" s="308" t="s">
        <v>180</v>
      </c>
    </row>
    <row r="9" spans="1:19" ht="13.5" thickBot="1">
      <c r="A9" s="5" t="s">
        <v>64</v>
      </c>
      <c r="B9" s="6" t="s">
        <v>53</v>
      </c>
      <c r="C9" s="12" t="s">
        <v>171</v>
      </c>
      <c r="D9" s="7" t="s">
        <v>172</v>
      </c>
      <c r="E9" s="7" t="s">
        <v>173</v>
      </c>
      <c r="F9" s="7" t="s">
        <v>88</v>
      </c>
      <c r="G9" s="7" t="s">
        <v>181</v>
      </c>
      <c r="H9" s="7" t="s">
        <v>175</v>
      </c>
      <c r="I9" s="158"/>
      <c r="J9" s="158"/>
      <c r="K9" s="159"/>
      <c r="L9" s="160"/>
      <c r="M9" s="159">
        <v>5700</v>
      </c>
      <c r="N9" s="160">
        <v>1197.95</v>
      </c>
      <c r="O9" s="339">
        <v>0</v>
      </c>
      <c r="P9" s="9">
        <v>120</v>
      </c>
      <c r="Q9" s="124">
        <v>500</v>
      </c>
      <c r="R9" s="120">
        <v>500</v>
      </c>
      <c r="S9" s="308" t="s">
        <v>182</v>
      </c>
    </row>
    <row r="10" spans="1:19" ht="13.5" thickBot="1">
      <c r="A10" s="5" t="s">
        <v>64</v>
      </c>
      <c r="B10" s="6" t="s">
        <v>53</v>
      </c>
      <c r="C10" s="12" t="s">
        <v>171</v>
      </c>
      <c r="D10" s="7" t="s">
        <v>172</v>
      </c>
      <c r="E10" s="7" t="s">
        <v>173</v>
      </c>
      <c r="F10" s="7" t="s">
        <v>89</v>
      </c>
      <c r="G10" s="7" t="s">
        <v>183</v>
      </c>
      <c r="H10" s="7" t="s">
        <v>175</v>
      </c>
      <c r="I10" s="158"/>
      <c r="J10" s="158"/>
      <c r="K10" s="8">
        <v>200</v>
      </c>
      <c r="L10" s="9">
        <v>411.96</v>
      </c>
      <c r="M10" s="8">
        <v>500</v>
      </c>
      <c r="N10" s="9">
        <v>326.62</v>
      </c>
      <c r="O10" s="339">
        <v>300</v>
      </c>
      <c r="P10" s="9">
        <v>0</v>
      </c>
      <c r="Q10" s="124">
        <v>0</v>
      </c>
      <c r="R10" s="120">
        <v>0</v>
      </c>
      <c r="S10" s="308"/>
    </row>
    <row r="11" spans="1:19" ht="13.5" thickBot="1">
      <c r="A11" s="5" t="s">
        <v>64</v>
      </c>
      <c r="B11" s="6" t="s">
        <v>53</v>
      </c>
      <c r="C11" s="12" t="s">
        <v>171</v>
      </c>
      <c r="D11" s="7" t="s">
        <v>172</v>
      </c>
      <c r="E11" s="7" t="s">
        <v>173</v>
      </c>
      <c r="F11" s="7" t="s">
        <v>90</v>
      </c>
      <c r="G11" s="7" t="s">
        <v>184</v>
      </c>
      <c r="H11" s="7" t="s">
        <v>175</v>
      </c>
      <c r="I11" s="158"/>
      <c r="J11" s="158"/>
      <c r="K11" s="8">
        <v>1050</v>
      </c>
      <c r="L11" s="9">
        <v>500</v>
      </c>
      <c r="M11" s="8">
        <v>1850</v>
      </c>
      <c r="N11" s="9">
        <v>660</v>
      </c>
      <c r="O11" s="339">
        <v>1000</v>
      </c>
      <c r="P11" s="9">
        <v>670</v>
      </c>
      <c r="Q11" s="124">
        <v>1000</v>
      </c>
      <c r="R11" s="120">
        <v>1000</v>
      </c>
      <c r="S11" s="308"/>
    </row>
    <row r="12" spans="1:19" ht="13.5" thickBot="1">
      <c r="A12" s="5" t="s">
        <v>64</v>
      </c>
      <c r="B12" s="6" t="s">
        <v>53</v>
      </c>
      <c r="C12" s="12" t="s">
        <v>171</v>
      </c>
      <c r="D12" s="7" t="s">
        <v>172</v>
      </c>
      <c r="E12" s="7" t="s">
        <v>173</v>
      </c>
      <c r="F12" s="7" t="s">
        <v>106</v>
      </c>
      <c r="G12" s="7" t="s">
        <v>185</v>
      </c>
      <c r="H12" s="7" t="s">
        <v>175</v>
      </c>
      <c r="I12" s="158"/>
      <c r="J12" s="158"/>
      <c r="K12" s="8">
        <v>2750</v>
      </c>
      <c r="L12" s="9">
        <v>6494</v>
      </c>
      <c r="M12" s="8">
        <v>18784</v>
      </c>
      <c r="N12" s="9">
        <v>15931.82</v>
      </c>
      <c r="O12" s="339">
        <v>21000</v>
      </c>
      <c r="P12" s="9">
        <v>17835</v>
      </c>
      <c r="Q12" s="124">
        <v>21000</v>
      </c>
      <c r="R12" s="120">
        <v>21000</v>
      </c>
      <c r="S12" s="308" t="s">
        <v>186</v>
      </c>
    </row>
    <row r="13" spans="1:19" ht="13.5" thickBot="1">
      <c r="A13" s="5" t="s">
        <v>64</v>
      </c>
      <c r="B13" s="6" t="s">
        <v>53</v>
      </c>
      <c r="C13" s="12" t="s">
        <v>171</v>
      </c>
      <c r="D13" s="7" t="s">
        <v>172</v>
      </c>
      <c r="E13" s="7" t="s">
        <v>173</v>
      </c>
      <c r="F13" s="7" t="s">
        <v>142</v>
      </c>
      <c r="G13" s="7" t="s">
        <v>187</v>
      </c>
      <c r="H13" s="7" t="s">
        <v>175</v>
      </c>
      <c r="I13" s="158"/>
      <c r="J13" s="158"/>
      <c r="K13" s="8">
        <v>3000</v>
      </c>
      <c r="L13" s="9">
        <v>6682.65</v>
      </c>
      <c r="M13" s="8">
        <v>2250</v>
      </c>
      <c r="N13" s="9">
        <v>9003.9500000000007</v>
      </c>
      <c r="O13" s="339">
        <v>1000</v>
      </c>
      <c r="P13" s="9">
        <v>0</v>
      </c>
      <c r="Q13" s="124">
        <v>1000</v>
      </c>
      <c r="R13" s="120">
        <v>1000</v>
      </c>
      <c r="S13" s="308"/>
    </row>
    <row r="14" spans="1:19" ht="13.5" thickBot="1">
      <c r="A14" s="5" t="s">
        <v>64</v>
      </c>
      <c r="B14" s="6" t="s">
        <v>53</v>
      </c>
      <c r="C14" s="12" t="s">
        <v>171</v>
      </c>
      <c r="D14" s="7" t="s">
        <v>172</v>
      </c>
      <c r="E14" s="7" t="s">
        <v>173</v>
      </c>
      <c r="F14" s="7" t="s">
        <v>152</v>
      </c>
      <c r="G14" s="7" t="s">
        <v>188</v>
      </c>
      <c r="H14" s="7" t="s">
        <v>175</v>
      </c>
      <c r="I14" s="158"/>
      <c r="J14" s="158"/>
      <c r="K14" s="159"/>
      <c r="L14" s="160"/>
      <c r="M14" s="159">
        <v>0</v>
      </c>
      <c r="N14" s="160">
        <v>0</v>
      </c>
      <c r="O14" s="339"/>
      <c r="P14" s="9"/>
      <c r="S14" s="308"/>
    </row>
    <row r="15" spans="1:19" ht="13.5" thickBot="1">
      <c r="A15" s="5" t="s">
        <v>64</v>
      </c>
      <c r="B15" s="6" t="s">
        <v>53</v>
      </c>
      <c r="C15" s="12" t="s">
        <v>171</v>
      </c>
      <c r="D15" s="7" t="s">
        <v>172</v>
      </c>
      <c r="E15" s="7" t="s">
        <v>173</v>
      </c>
      <c r="F15" s="7" t="s">
        <v>152</v>
      </c>
      <c r="G15" s="7" t="s">
        <v>188</v>
      </c>
      <c r="H15" s="7" t="s">
        <v>189</v>
      </c>
      <c r="I15" s="7"/>
      <c r="J15" s="10"/>
      <c r="K15" s="8"/>
      <c r="L15" s="9"/>
      <c r="M15" s="8">
        <v>0</v>
      </c>
      <c r="N15" s="9">
        <v>1750</v>
      </c>
      <c r="O15" s="339"/>
      <c r="P15" s="9"/>
      <c r="Q15" s="125"/>
      <c r="S15" s="308"/>
    </row>
    <row r="16" spans="1:19" ht="13.5" thickBot="1">
      <c r="A16" s="5" t="s">
        <v>64</v>
      </c>
      <c r="B16" s="6" t="s">
        <v>54</v>
      </c>
      <c r="C16" s="12" t="s">
        <v>190</v>
      </c>
      <c r="D16" s="7" t="s">
        <v>191</v>
      </c>
      <c r="E16" s="7" t="s">
        <v>192</v>
      </c>
      <c r="F16" s="7" t="s">
        <v>73</v>
      </c>
      <c r="G16" s="7" t="s">
        <v>193</v>
      </c>
      <c r="H16" s="7" t="s">
        <v>175</v>
      </c>
      <c r="I16" s="158" t="s">
        <v>194</v>
      </c>
      <c r="J16" s="161"/>
      <c r="K16" s="8">
        <v>6300</v>
      </c>
      <c r="L16" s="9">
        <v>0</v>
      </c>
      <c r="M16" s="8">
        <v>6300</v>
      </c>
      <c r="N16" s="9">
        <v>0</v>
      </c>
      <c r="O16" s="339">
        <v>6300</v>
      </c>
      <c r="P16" s="9">
        <v>0</v>
      </c>
      <c r="Q16" s="125">
        <v>0</v>
      </c>
      <c r="R16" s="120">
        <v>0</v>
      </c>
      <c r="S16" s="308" t="s">
        <v>195</v>
      </c>
    </row>
    <row r="17" spans="1:19" ht="13.5" thickBot="1">
      <c r="A17" s="5" t="s">
        <v>64</v>
      </c>
      <c r="B17" s="6" t="s">
        <v>54</v>
      </c>
      <c r="C17" s="12" t="s">
        <v>190</v>
      </c>
      <c r="D17" s="7" t="s">
        <v>191</v>
      </c>
      <c r="E17" s="7" t="s">
        <v>192</v>
      </c>
      <c r="F17" s="7" t="s">
        <v>75</v>
      </c>
      <c r="G17" s="7" t="s">
        <v>174</v>
      </c>
      <c r="H17" s="7" t="s">
        <v>175</v>
      </c>
      <c r="I17" s="158"/>
      <c r="J17" s="161"/>
      <c r="K17" s="8">
        <v>800</v>
      </c>
      <c r="L17" s="9">
        <v>635.42999999999995</v>
      </c>
      <c r="M17" s="8">
        <v>800</v>
      </c>
      <c r="N17" s="9">
        <v>0</v>
      </c>
      <c r="O17" s="339">
        <v>800</v>
      </c>
      <c r="P17" s="9">
        <v>0</v>
      </c>
      <c r="Q17" s="125">
        <v>300</v>
      </c>
      <c r="R17" s="120">
        <v>300</v>
      </c>
      <c r="S17" s="308" t="s">
        <v>196</v>
      </c>
    </row>
    <row r="18" spans="1:19" ht="13.5" thickBot="1">
      <c r="A18" s="5" t="s">
        <v>64</v>
      </c>
      <c r="B18" s="6" t="s">
        <v>54</v>
      </c>
      <c r="C18" s="12" t="s">
        <v>190</v>
      </c>
      <c r="D18" s="7" t="s">
        <v>191</v>
      </c>
      <c r="E18" s="7" t="s">
        <v>192</v>
      </c>
      <c r="F18" s="7" t="s">
        <v>76</v>
      </c>
      <c r="G18" s="7" t="s">
        <v>197</v>
      </c>
      <c r="H18" s="7" t="s">
        <v>175</v>
      </c>
      <c r="I18" s="158"/>
      <c r="J18" s="161"/>
      <c r="K18" s="8">
        <v>900</v>
      </c>
      <c r="L18" s="9">
        <v>0</v>
      </c>
      <c r="M18" s="8">
        <v>900</v>
      </c>
      <c r="N18" s="9">
        <v>0</v>
      </c>
      <c r="O18" s="339">
        <v>900</v>
      </c>
      <c r="P18" s="9">
        <v>0</v>
      </c>
      <c r="Q18" s="126">
        <v>450</v>
      </c>
      <c r="R18" s="120">
        <v>300</v>
      </c>
      <c r="S18" s="308" t="s">
        <v>198</v>
      </c>
    </row>
    <row r="19" spans="1:19" ht="13.5" thickBot="1">
      <c r="A19" s="5" t="s">
        <v>64</v>
      </c>
      <c r="B19" s="6" t="s">
        <v>54</v>
      </c>
      <c r="C19" s="12" t="s">
        <v>190</v>
      </c>
      <c r="D19" s="7" t="s">
        <v>191</v>
      </c>
      <c r="E19" s="7" t="s">
        <v>192</v>
      </c>
      <c r="F19" s="7" t="s">
        <v>78</v>
      </c>
      <c r="G19" s="7" t="s">
        <v>176</v>
      </c>
      <c r="H19" s="7" t="s">
        <v>175</v>
      </c>
      <c r="I19" s="158"/>
      <c r="J19" s="161"/>
      <c r="K19" s="8">
        <v>900</v>
      </c>
      <c r="L19" s="9">
        <v>1072.1600000000001</v>
      </c>
      <c r="M19" s="8">
        <v>900</v>
      </c>
      <c r="N19" s="9">
        <v>92.9</v>
      </c>
      <c r="O19" s="339">
        <v>900</v>
      </c>
      <c r="P19" s="9">
        <v>0</v>
      </c>
      <c r="Q19" s="126">
        <v>900</v>
      </c>
      <c r="R19" s="120">
        <v>900</v>
      </c>
      <c r="S19" s="308" t="s">
        <v>199</v>
      </c>
    </row>
    <row r="20" spans="1:19" ht="13.5" thickBot="1">
      <c r="A20" s="5" t="s">
        <v>64</v>
      </c>
      <c r="B20" s="6" t="s">
        <v>54</v>
      </c>
      <c r="C20" s="12" t="s">
        <v>190</v>
      </c>
      <c r="D20" s="7" t="s">
        <v>191</v>
      </c>
      <c r="E20" s="7" t="s">
        <v>192</v>
      </c>
      <c r="F20" s="7" t="s">
        <v>83</v>
      </c>
      <c r="G20" s="7" t="s">
        <v>178</v>
      </c>
      <c r="H20" s="7" t="s">
        <v>175</v>
      </c>
      <c r="I20" s="158"/>
      <c r="J20" s="161"/>
      <c r="K20" s="8">
        <v>6000</v>
      </c>
      <c r="L20" s="9">
        <v>6293.38</v>
      </c>
      <c r="M20" s="8">
        <v>19000</v>
      </c>
      <c r="N20" s="9">
        <v>10554</v>
      </c>
      <c r="O20" s="339">
        <v>19000</v>
      </c>
      <c r="P20" s="9">
        <v>0</v>
      </c>
      <c r="Q20" s="126">
        <v>15000</v>
      </c>
      <c r="R20" s="120">
        <v>13000</v>
      </c>
      <c r="S20" s="308" t="s">
        <v>200</v>
      </c>
    </row>
    <row r="21" spans="1:19" ht="13.5" thickBot="1">
      <c r="A21" s="5" t="s">
        <v>64</v>
      </c>
      <c r="B21" s="6" t="s">
        <v>54</v>
      </c>
      <c r="C21" s="12" t="s">
        <v>190</v>
      </c>
      <c r="D21" s="7" t="s">
        <v>191</v>
      </c>
      <c r="E21" s="7" t="s">
        <v>192</v>
      </c>
      <c r="F21" s="7" t="s">
        <v>85</v>
      </c>
      <c r="G21" s="7" t="s">
        <v>201</v>
      </c>
      <c r="H21" s="7" t="s">
        <v>175</v>
      </c>
      <c r="I21" s="158"/>
      <c r="J21" s="161"/>
      <c r="K21" s="8">
        <v>350</v>
      </c>
      <c r="L21" s="9">
        <v>2178.34</v>
      </c>
      <c r="M21" s="8">
        <v>350</v>
      </c>
      <c r="N21" s="9">
        <v>0</v>
      </c>
      <c r="O21" s="339">
        <v>350</v>
      </c>
      <c r="P21" s="9">
        <v>0</v>
      </c>
      <c r="Q21" s="126">
        <v>350</v>
      </c>
      <c r="R21" s="120">
        <v>350</v>
      </c>
      <c r="S21" s="308"/>
    </row>
    <row r="22" spans="1:19" ht="13.5" thickBot="1">
      <c r="A22" s="5" t="s">
        <v>64</v>
      </c>
      <c r="B22" s="6" t="s">
        <v>54</v>
      </c>
      <c r="C22" s="12" t="s">
        <v>190</v>
      </c>
      <c r="D22" s="7" t="s">
        <v>191</v>
      </c>
      <c r="E22" s="7" t="s">
        <v>192</v>
      </c>
      <c r="F22" s="7" t="s">
        <v>86</v>
      </c>
      <c r="G22" s="7" t="s">
        <v>179</v>
      </c>
      <c r="H22" s="7" t="s">
        <v>175</v>
      </c>
      <c r="I22" s="158"/>
      <c r="J22" s="161"/>
      <c r="K22" s="8">
        <v>5000</v>
      </c>
      <c r="L22" s="9">
        <v>6885.17</v>
      </c>
      <c r="M22" s="8">
        <v>5000</v>
      </c>
      <c r="N22" s="9">
        <v>2634.42</v>
      </c>
      <c r="O22" s="339">
        <v>5000</v>
      </c>
      <c r="P22" s="9">
        <v>0</v>
      </c>
      <c r="Q22" s="126">
        <v>2500</v>
      </c>
      <c r="R22" s="120">
        <v>2000</v>
      </c>
      <c r="S22" s="308" t="s">
        <v>202</v>
      </c>
    </row>
    <row r="23" spans="1:19" ht="13.5" thickBot="1">
      <c r="A23" s="5" t="s">
        <v>64</v>
      </c>
      <c r="B23" s="6" t="s">
        <v>54</v>
      </c>
      <c r="C23" s="12" t="s">
        <v>190</v>
      </c>
      <c r="D23" s="7" t="s">
        <v>191</v>
      </c>
      <c r="E23" s="7" t="s">
        <v>192</v>
      </c>
      <c r="F23" s="7" t="s">
        <v>86</v>
      </c>
      <c r="G23" s="7" t="s">
        <v>179</v>
      </c>
      <c r="H23" s="7" t="s">
        <v>175</v>
      </c>
      <c r="I23" s="158"/>
      <c r="J23" s="161" t="s">
        <v>203</v>
      </c>
      <c r="K23" s="8"/>
      <c r="L23" s="9"/>
      <c r="M23" s="8">
        <v>0</v>
      </c>
      <c r="N23" s="9">
        <v>33.1</v>
      </c>
      <c r="O23" s="339"/>
      <c r="P23" s="9"/>
      <c r="Q23" s="126"/>
      <c r="S23" s="308"/>
    </row>
    <row r="24" spans="1:19" ht="13.5" thickBot="1">
      <c r="A24" s="5" t="s">
        <v>64</v>
      </c>
      <c r="B24" s="6" t="s">
        <v>54</v>
      </c>
      <c r="C24" s="12" t="s">
        <v>190</v>
      </c>
      <c r="D24" s="7" t="s">
        <v>191</v>
      </c>
      <c r="E24" s="7" t="s">
        <v>192</v>
      </c>
      <c r="F24" s="7" t="s">
        <v>89</v>
      </c>
      <c r="G24" s="7" t="s">
        <v>183</v>
      </c>
      <c r="H24" s="7" t="s">
        <v>175</v>
      </c>
      <c r="I24" s="158"/>
      <c r="J24" s="161"/>
      <c r="K24" s="8">
        <v>1250</v>
      </c>
      <c r="L24" s="9">
        <v>1527.17</v>
      </c>
      <c r="M24" s="8">
        <v>1250</v>
      </c>
      <c r="N24" s="9">
        <v>1092.28</v>
      </c>
      <c r="O24" s="339">
        <v>1250</v>
      </c>
      <c r="P24" s="9">
        <v>0</v>
      </c>
      <c r="Q24" s="126">
        <v>1250</v>
      </c>
      <c r="R24" s="120">
        <v>1250</v>
      </c>
      <c r="S24" s="308"/>
    </row>
    <row r="25" spans="1:19" ht="13.5" thickBot="1">
      <c r="A25" s="5" t="s">
        <v>64</v>
      </c>
      <c r="B25" s="6" t="s">
        <v>54</v>
      </c>
      <c r="C25" s="12" t="s">
        <v>190</v>
      </c>
      <c r="D25" s="7" t="s">
        <v>191</v>
      </c>
      <c r="E25" s="7" t="s">
        <v>192</v>
      </c>
      <c r="F25" s="7" t="s">
        <v>90</v>
      </c>
      <c r="G25" s="7" t="s">
        <v>184</v>
      </c>
      <c r="H25" s="7" t="s">
        <v>175</v>
      </c>
      <c r="I25" s="158"/>
      <c r="J25" s="161"/>
      <c r="K25" s="159">
        <v>1000</v>
      </c>
      <c r="L25" s="160">
        <v>3750</v>
      </c>
      <c r="M25" s="8">
        <v>1000</v>
      </c>
      <c r="N25" s="9">
        <v>500</v>
      </c>
      <c r="O25" s="340">
        <v>1000</v>
      </c>
      <c r="P25" s="160">
        <v>3450</v>
      </c>
      <c r="Q25" s="131">
        <v>4000</v>
      </c>
      <c r="R25" s="120">
        <v>4000</v>
      </c>
      <c r="S25" s="308"/>
    </row>
    <row r="26" spans="1:19" ht="13.5" thickBot="1">
      <c r="A26" s="5" t="s">
        <v>64</v>
      </c>
      <c r="B26" s="6" t="s">
        <v>54</v>
      </c>
      <c r="C26" s="12" t="s">
        <v>190</v>
      </c>
      <c r="D26" s="7" t="s">
        <v>191</v>
      </c>
      <c r="E26" s="7" t="s">
        <v>192</v>
      </c>
      <c r="F26" s="7" t="s">
        <v>106</v>
      </c>
      <c r="G26" s="7" t="s">
        <v>185</v>
      </c>
      <c r="H26" s="7" t="s">
        <v>175</v>
      </c>
      <c r="I26" s="158"/>
      <c r="J26" s="161"/>
      <c r="K26" s="159">
        <v>2000</v>
      </c>
      <c r="L26" s="160">
        <v>0</v>
      </c>
      <c r="M26" s="8">
        <v>2000</v>
      </c>
      <c r="N26" s="9">
        <v>75.34</v>
      </c>
      <c r="O26" s="340">
        <v>2000</v>
      </c>
      <c r="P26" s="160">
        <v>1.55</v>
      </c>
      <c r="Q26" s="131">
        <v>1000</v>
      </c>
      <c r="R26" s="120">
        <v>500</v>
      </c>
      <c r="S26" s="308" t="s">
        <v>199</v>
      </c>
    </row>
    <row r="27" spans="1:19" ht="13.5" thickBot="1">
      <c r="A27" s="5" t="s">
        <v>64</v>
      </c>
      <c r="B27" s="6" t="s">
        <v>54</v>
      </c>
      <c r="C27" s="12" t="s">
        <v>190</v>
      </c>
      <c r="D27" s="7" t="s">
        <v>191</v>
      </c>
      <c r="E27" s="7" t="s">
        <v>192</v>
      </c>
      <c r="F27" s="7" t="s">
        <v>109</v>
      </c>
      <c r="G27" s="7" t="s">
        <v>204</v>
      </c>
      <c r="H27" s="7" t="s">
        <v>175</v>
      </c>
      <c r="I27" s="158"/>
      <c r="J27" s="161"/>
      <c r="K27" s="8">
        <v>0</v>
      </c>
      <c r="L27" s="9">
        <v>177.81</v>
      </c>
      <c r="M27" s="8">
        <v>0</v>
      </c>
      <c r="N27" s="9">
        <v>57.74</v>
      </c>
      <c r="O27" s="339"/>
      <c r="P27" s="9"/>
      <c r="Q27" s="126"/>
      <c r="S27" s="308"/>
    </row>
    <row r="28" spans="1:19" ht="13.5" thickBot="1">
      <c r="A28" s="5" t="s">
        <v>64</v>
      </c>
      <c r="B28" s="6" t="s">
        <v>54</v>
      </c>
      <c r="C28" s="12" t="s">
        <v>190</v>
      </c>
      <c r="D28" s="7" t="s">
        <v>191</v>
      </c>
      <c r="E28" s="7" t="s">
        <v>192</v>
      </c>
      <c r="F28" s="7" t="s">
        <v>122</v>
      </c>
      <c r="G28" s="7" t="s">
        <v>205</v>
      </c>
      <c r="H28" s="7" t="s">
        <v>175</v>
      </c>
      <c r="I28" s="158"/>
      <c r="J28" s="161"/>
      <c r="K28" s="159"/>
      <c r="L28" s="160"/>
      <c r="M28" s="8">
        <v>0</v>
      </c>
      <c r="N28" s="9">
        <v>420</v>
      </c>
      <c r="O28" s="340"/>
      <c r="P28" s="160"/>
      <c r="S28" s="308"/>
    </row>
    <row r="29" spans="1:19" ht="13.5" thickBot="1">
      <c r="A29" s="5" t="s">
        <v>64</v>
      </c>
      <c r="B29" s="6" t="s">
        <v>54</v>
      </c>
      <c r="C29" s="12" t="s">
        <v>190</v>
      </c>
      <c r="D29" s="7" t="s">
        <v>191</v>
      </c>
      <c r="E29" s="7" t="s">
        <v>192</v>
      </c>
      <c r="F29" s="7" t="s">
        <v>131</v>
      </c>
      <c r="G29" s="7" t="s">
        <v>206</v>
      </c>
      <c r="H29" s="7" t="s">
        <v>175</v>
      </c>
      <c r="I29" s="158"/>
      <c r="J29" s="158"/>
      <c r="K29" s="8">
        <v>0</v>
      </c>
      <c r="L29" s="9">
        <v>508</v>
      </c>
      <c r="M29" s="159"/>
      <c r="N29" s="160"/>
      <c r="O29" s="340"/>
      <c r="P29" s="160"/>
      <c r="S29" s="308"/>
    </row>
    <row r="30" spans="1:19" ht="13.5" thickBot="1">
      <c r="A30" s="5" t="s">
        <v>64</v>
      </c>
      <c r="B30" s="6" t="s">
        <v>54</v>
      </c>
      <c r="C30" s="12" t="s">
        <v>190</v>
      </c>
      <c r="D30" s="7" t="s">
        <v>191</v>
      </c>
      <c r="E30" s="7" t="s">
        <v>192</v>
      </c>
      <c r="F30" s="7" t="s">
        <v>142</v>
      </c>
      <c r="G30" s="7" t="s">
        <v>187</v>
      </c>
      <c r="H30" s="7" t="s">
        <v>175</v>
      </c>
      <c r="I30" s="7"/>
      <c r="J30" s="158"/>
      <c r="K30" s="8">
        <v>9700</v>
      </c>
      <c r="L30" s="9">
        <v>2174.6999999999998</v>
      </c>
      <c r="M30" s="8">
        <v>5000</v>
      </c>
      <c r="N30" s="9">
        <v>2252.6799999999998</v>
      </c>
      <c r="O30" s="340">
        <v>5000</v>
      </c>
      <c r="P30" s="160">
        <v>0</v>
      </c>
      <c r="Q30" s="120">
        <v>2500</v>
      </c>
      <c r="R30" s="120">
        <v>2500</v>
      </c>
      <c r="S30" s="308" t="s">
        <v>198</v>
      </c>
    </row>
    <row r="31" spans="1:19" ht="13.5" thickBot="1">
      <c r="A31" s="5" t="s">
        <v>64</v>
      </c>
      <c r="B31" s="6" t="s">
        <v>54</v>
      </c>
      <c r="C31" s="12" t="s">
        <v>190</v>
      </c>
      <c r="D31" s="7" t="s">
        <v>191</v>
      </c>
      <c r="E31" s="7" t="s">
        <v>192</v>
      </c>
      <c r="F31" s="7" t="s">
        <v>143</v>
      </c>
      <c r="G31" s="7" t="s">
        <v>207</v>
      </c>
      <c r="H31" s="7" t="s">
        <v>175</v>
      </c>
      <c r="I31" s="158"/>
      <c r="J31" s="158"/>
      <c r="K31" s="159">
        <v>0</v>
      </c>
      <c r="L31" s="160">
        <v>5794.18</v>
      </c>
      <c r="M31" s="159"/>
      <c r="N31" s="160"/>
      <c r="O31" s="339"/>
      <c r="P31" s="9"/>
      <c r="S31" s="308"/>
    </row>
    <row r="32" spans="1:19" ht="13.5" thickBot="1">
      <c r="A32" s="5" t="s">
        <v>64</v>
      </c>
      <c r="B32" s="6" t="s">
        <v>54</v>
      </c>
      <c r="C32" s="12" t="s">
        <v>190</v>
      </c>
      <c r="D32" s="7" t="s">
        <v>208</v>
      </c>
      <c r="E32" s="7" t="s">
        <v>209</v>
      </c>
      <c r="F32" s="7" t="s">
        <v>69</v>
      </c>
      <c r="G32" s="7" t="s">
        <v>210</v>
      </c>
      <c r="H32" s="7" t="s">
        <v>175</v>
      </c>
      <c r="I32" s="158"/>
      <c r="J32" s="158"/>
      <c r="K32" s="8"/>
      <c r="L32" s="9"/>
      <c r="M32" s="8">
        <v>0</v>
      </c>
      <c r="N32" s="9">
        <v>6300</v>
      </c>
      <c r="O32" s="339">
        <v>0</v>
      </c>
      <c r="P32" s="9"/>
      <c r="Q32" s="122"/>
      <c r="S32" s="308"/>
    </row>
    <row r="33" spans="1:19" ht="13.5" thickBot="1">
      <c r="A33" s="5" t="s">
        <v>64</v>
      </c>
      <c r="B33" s="6" t="s">
        <v>54</v>
      </c>
      <c r="C33" s="12" t="s">
        <v>190</v>
      </c>
      <c r="D33" s="7" t="s">
        <v>208</v>
      </c>
      <c r="E33" s="7" t="s">
        <v>209</v>
      </c>
      <c r="F33" s="7" t="s">
        <v>69</v>
      </c>
      <c r="G33" s="7" t="s">
        <v>210</v>
      </c>
      <c r="H33" s="7" t="s">
        <v>211</v>
      </c>
      <c r="I33" s="158"/>
      <c r="J33" s="158"/>
      <c r="K33" s="8"/>
      <c r="L33" s="9"/>
      <c r="M33" s="8">
        <v>0</v>
      </c>
      <c r="N33" s="9">
        <v>300</v>
      </c>
      <c r="O33" s="339"/>
      <c r="P33" s="9"/>
      <c r="Q33" s="122"/>
      <c r="S33" s="308"/>
    </row>
    <row r="34" spans="1:19" ht="13.5" thickBot="1">
      <c r="A34" s="5" t="s">
        <v>64</v>
      </c>
      <c r="B34" s="6" t="s">
        <v>54</v>
      </c>
      <c r="C34" s="12" t="s">
        <v>190</v>
      </c>
      <c r="D34" s="7" t="s">
        <v>208</v>
      </c>
      <c r="E34" s="7" t="s">
        <v>209</v>
      </c>
      <c r="F34" s="7" t="s">
        <v>75</v>
      </c>
      <c r="G34" s="7" t="s">
        <v>174</v>
      </c>
      <c r="H34" s="7" t="s">
        <v>175</v>
      </c>
      <c r="I34" s="158"/>
      <c r="J34" s="158"/>
      <c r="K34" s="8">
        <v>1000</v>
      </c>
      <c r="L34" s="9">
        <v>0</v>
      </c>
      <c r="M34" s="159">
        <v>1000</v>
      </c>
      <c r="N34" s="160">
        <v>0</v>
      </c>
      <c r="O34" s="340">
        <v>1000</v>
      </c>
      <c r="P34" s="160">
        <v>0</v>
      </c>
      <c r="Q34" s="120">
        <v>500</v>
      </c>
      <c r="R34" s="120">
        <v>500</v>
      </c>
      <c r="S34" s="308" t="s">
        <v>196</v>
      </c>
    </row>
    <row r="35" spans="1:19" ht="13.5" thickBot="1">
      <c r="A35" s="5" t="s">
        <v>64</v>
      </c>
      <c r="B35" s="6" t="s">
        <v>54</v>
      </c>
      <c r="C35" s="12" t="s">
        <v>190</v>
      </c>
      <c r="D35" s="7" t="s">
        <v>208</v>
      </c>
      <c r="E35" s="7" t="s">
        <v>209</v>
      </c>
      <c r="F35" s="7" t="s">
        <v>76</v>
      </c>
      <c r="G35" s="7" t="s">
        <v>197</v>
      </c>
      <c r="H35" s="7" t="s">
        <v>175</v>
      </c>
      <c r="I35" s="158"/>
      <c r="J35" s="158"/>
      <c r="K35" s="8">
        <v>2000</v>
      </c>
      <c r="L35" s="9">
        <v>0</v>
      </c>
      <c r="M35" s="8">
        <v>2000</v>
      </c>
      <c r="N35" s="9">
        <v>0</v>
      </c>
      <c r="O35" s="339">
        <v>2000</v>
      </c>
      <c r="P35" s="9">
        <v>0</v>
      </c>
      <c r="Q35" s="122">
        <v>1000</v>
      </c>
      <c r="R35" s="120">
        <v>1000</v>
      </c>
      <c r="S35" s="308" t="s">
        <v>199</v>
      </c>
    </row>
    <row r="36" spans="1:19" ht="13.5" thickBot="1">
      <c r="A36" s="5" t="s">
        <v>64</v>
      </c>
      <c r="B36" s="6" t="s">
        <v>54</v>
      </c>
      <c r="C36" s="12" t="s">
        <v>190</v>
      </c>
      <c r="D36" s="7" t="s">
        <v>208</v>
      </c>
      <c r="E36" s="7" t="s">
        <v>209</v>
      </c>
      <c r="F36" s="7" t="s">
        <v>78</v>
      </c>
      <c r="G36" s="7" t="s">
        <v>176</v>
      </c>
      <c r="H36" s="7" t="s">
        <v>175</v>
      </c>
      <c r="I36" s="158"/>
      <c r="J36" s="158"/>
      <c r="K36" s="8">
        <v>800</v>
      </c>
      <c r="L36" s="9">
        <v>3479</v>
      </c>
      <c r="M36" s="159">
        <v>500</v>
      </c>
      <c r="N36" s="160">
        <v>905.08</v>
      </c>
      <c r="O36" s="340">
        <v>500</v>
      </c>
      <c r="P36" s="160">
        <v>239.07</v>
      </c>
      <c r="Q36" s="120">
        <v>500</v>
      </c>
      <c r="R36" s="120">
        <v>500</v>
      </c>
      <c r="S36" s="308"/>
    </row>
    <row r="37" spans="1:19" ht="13.5" thickBot="1">
      <c r="A37" s="5" t="s">
        <v>64</v>
      </c>
      <c r="B37" s="6" t="s">
        <v>54</v>
      </c>
      <c r="C37" s="12" t="s">
        <v>190</v>
      </c>
      <c r="D37" s="7" t="s">
        <v>208</v>
      </c>
      <c r="E37" s="7" t="s">
        <v>209</v>
      </c>
      <c r="F37" s="7" t="s">
        <v>83</v>
      </c>
      <c r="G37" s="7" t="s">
        <v>178</v>
      </c>
      <c r="H37" s="7" t="s">
        <v>175</v>
      </c>
      <c r="I37" s="158"/>
      <c r="J37" s="158"/>
      <c r="K37" s="8">
        <v>15000</v>
      </c>
      <c r="L37" s="9">
        <v>6245.25</v>
      </c>
      <c r="M37" s="8">
        <v>12000</v>
      </c>
      <c r="N37" s="9">
        <v>6443</v>
      </c>
      <c r="O37" s="339">
        <f>3000+3000</f>
        <v>6000</v>
      </c>
      <c r="P37" s="9">
        <v>0</v>
      </c>
      <c r="Q37" s="124">
        <v>6000</v>
      </c>
      <c r="R37" s="120">
        <v>6000</v>
      </c>
      <c r="S37" s="308"/>
    </row>
    <row r="38" spans="1:19" ht="13.5" thickBot="1">
      <c r="A38" s="5" t="s">
        <v>64</v>
      </c>
      <c r="B38" s="6" t="s">
        <v>54</v>
      </c>
      <c r="C38" s="12" t="s">
        <v>190</v>
      </c>
      <c r="D38" s="7" t="s">
        <v>208</v>
      </c>
      <c r="E38" s="7" t="s">
        <v>209</v>
      </c>
      <c r="F38" s="7" t="s">
        <v>86</v>
      </c>
      <c r="G38" s="7" t="s">
        <v>179</v>
      </c>
      <c r="H38" s="7" t="s">
        <v>175</v>
      </c>
      <c r="I38" s="158"/>
      <c r="J38" s="158"/>
      <c r="K38" s="8">
        <v>20000</v>
      </c>
      <c r="L38" s="9">
        <v>28757.34</v>
      </c>
      <c r="M38" s="8">
        <v>30000</v>
      </c>
      <c r="N38" s="9">
        <v>29396.44</v>
      </c>
      <c r="O38" s="340">
        <f>20000</f>
        <v>20000</v>
      </c>
      <c r="P38" s="160">
        <v>0</v>
      </c>
      <c r="Q38" s="120">
        <v>20000</v>
      </c>
      <c r="R38" s="120">
        <v>20000</v>
      </c>
      <c r="S38" s="308" t="s">
        <v>198</v>
      </c>
    </row>
    <row r="39" spans="1:19" ht="13.5" thickBot="1">
      <c r="A39" s="5" t="s">
        <v>64</v>
      </c>
      <c r="B39" s="6" t="s">
        <v>54</v>
      </c>
      <c r="C39" s="12" t="s">
        <v>190</v>
      </c>
      <c r="D39" s="7" t="s">
        <v>208</v>
      </c>
      <c r="E39" s="7" t="s">
        <v>209</v>
      </c>
      <c r="F39" s="7" t="s">
        <v>86</v>
      </c>
      <c r="G39" s="7" t="s">
        <v>179</v>
      </c>
      <c r="H39" s="7" t="s">
        <v>175</v>
      </c>
      <c r="I39" s="158"/>
      <c r="J39" s="158" t="s">
        <v>203</v>
      </c>
      <c r="K39" s="8">
        <v>0</v>
      </c>
      <c r="L39" s="9">
        <v>47.82</v>
      </c>
      <c r="M39" s="8"/>
      <c r="N39" s="9"/>
      <c r="O39" s="339"/>
      <c r="P39" s="9"/>
      <c r="Q39" s="122"/>
      <c r="S39" s="308"/>
    </row>
    <row r="40" spans="1:19" ht="13.5" thickBot="1">
      <c r="A40" s="5" t="s">
        <v>64</v>
      </c>
      <c r="B40" s="6" t="s">
        <v>54</v>
      </c>
      <c r="C40" s="12" t="s">
        <v>190</v>
      </c>
      <c r="D40" s="7" t="s">
        <v>208</v>
      </c>
      <c r="E40" s="7" t="s">
        <v>209</v>
      </c>
      <c r="F40" s="7" t="s">
        <v>89</v>
      </c>
      <c r="G40" s="7" t="s">
        <v>183</v>
      </c>
      <c r="H40" s="7" t="s">
        <v>175</v>
      </c>
      <c r="I40" s="158"/>
      <c r="J40" s="158"/>
      <c r="K40" s="8">
        <v>3000</v>
      </c>
      <c r="L40" s="9">
        <v>2759.49</v>
      </c>
      <c r="M40" s="159">
        <v>3000</v>
      </c>
      <c r="N40" s="160">
        <v>3538.61</v>
      </c>
      <c r="O40" s="340">
        <v>3000</v>
      </c>
      <c r="P40" s="160">
        <v>0</v>
      </c>
      <c r="Q40" s="120">
        <v>3000</v>
      </c>
      <c r="R40" s="120">
        <v>3000</v>
      </c>
      <c r="S40" s="308"/>
    </row>
    <row r="41" spans="1:19" ht="13.5" thickBot="1">
      <c r="A41" s="5" t="s">
        <v>64</v>
      </c>
      <c r="B41" s="6" t="s">
        <v>54</v>
      </c>
      <c r="C41" s="12" t="s">
        <v>190</v>
      </c>
      <c r="D41" s="7" t="s">
        <v>208</v>
      </c>
      <c r="E41" s="7" t="s">
        <v>209</v>
      </c>
      <c r="F41" s="7" t="s">
        <v>90</v>
      </c>
      <c r="G41" s="7" t="s">
        <v>184</v>
      </c>
      <c r="H41" s="7" t="s">
        <v>175</v>
      </c>
      <c r="I41" s="158"/>
      <c r="J41" s="158"/>
      <c r="K41" s="8"/>
      <c r="L41" s="9"/>
      <c r="M41" s="8"/>
      <c r="N41" s="9"/>
      <c r="O41" s="339">
        <v>0</v>
      </c>
      <c r="P41" s="9">
        <v>5000</v>
      </c>
      <c r="Q41" s="122">
        <v>0</v>
      </c>
      <c r="R41" s="120">
        <v>0</v>
      </c>
      <c r="S41" s="308" t="s">
        <v>212</v>
      </c>
    </row>
    <row r="42" spans="1:19" ht="13.5" thickBot="1">
      <c r="A42" s="5" t="s">
        <v>64</v>
      </c>
      <c r="B42" s="6" t="s">
        <v>54</v>
      </c>
      <c r="C42" s="12" t="s">
        <v>190</v>
      </c>
      <c r="D42" s="7" t="s">
        <v>208</v>
      </c>
      <c r="E42" s="7" t="s">
        <v>209</v>
      </c>
      <c r="F42" s="7" t="s">
        <v>95</v>
      </c>
      <c r="G42" s="7" t="s">
        <v>213</v>
      </c>
      <c r="H42" s="7" t="s">
        <v>175</v>
      </c>
      <c r="I42" s="158"/>
      <c r="J42" s="158"/>
      <c r="K42" s="8"/>
      <c r="L42" s="9"/>
      <c r="M42" s="159">
        <v>0</v>
      </c>
      <c r="N42" s="160">
        <v>67.16</v>
      </c>
      <c r="O42" s="340"/>
      <c r="P42" s="160"/>
      <c r="S42" s="308"/>
    </row>
    <row r="43" spans="1:19" ht="13.5" thickBot="1">
      <c r="A43" s="5" t="s">
        <v>64</v>
      </c>
      <c r="B43" s="6" t="s">
        <v>54</v>
      </c>
      <c r="C43" s="12" t="s">
        <v>190</v>
      </c>
      <c r="D43" s="7" t="s">
        <v>208</v>
      </c>
      <c r="E43" s="7" t="s">
        <v>209</v>
      </c>
      <c r="F43" s="7" t="s">
        <v>122</v>
      </c>
      <c r="G43" s="7" t="s">
        <v>205</v>
      </c>
      <c r="H43" s="7" t="s">
        <v>175</v>
      </c>
      <c r="I43" s="158"/>
      <c r="J43" s="158"/>
      <c r="K43" s="8">
        <v>0</v>
      </c>
      <c r="L43" s="9">
        <v>1450</v>
      </c>
      <c r="M43" s="8">
        <v>0</v>
      </c>
      <c r="N43" s="9">
        <v>900</v>
      </c>
      <c r="O43" s="339"/>
      <c r="P43" s="9"/>
      <c r="Q43" s="122"/>
      <c r="S43" s="308"/>
    </row>
    <row r="44" spans="1:19" ht="13.5" thickBot="1">
      <c r="A44" s="5" t="s">
        <v>64</v>
      </c>
      <c r="B44" s="6" t="s">
        <v>54</v>
      </c>
      <c r="C44" s="12" t="s">
        <v>190</v>
      </c>
      <c r="D44" s="7" t="s">
        <v>208</v>
      </c>
      <c r="E44" s="7" t="s">
        <v>209</v>
      </c>
      <c r="F44" s="7" t="s">
        <v>125</v>
      </c>
      <c r="G44" s="7" t="s">
        <v>214</v>
      </c>
      <c r="H44" s="7" t="s">
        <v>175</v>
      </c>
      <c r="I44" s="7"/>
      <c r="J44" s="7"/>
      <c r="K44" s="159"/>
      <c r="L44" s="160"/>
      <c r="M44" s="8"/>
      <c r="N44" s="9"/>
      <c r="O44" s="340">
        <v>0</v>
      </c>
      <c r="P44" s="160">
        <v>33</v>
      </c>
      <c r="Q44" s="120">
        <v>0</v>
      </c>
      <c r="R44" s="120">
        <v>0</v>
      </c>
      <c r="S44" s="308"/>
    </row>
    <row r="45" spans="1:19" ht="13.5" thickBot="1">
      <c r="A45" s="5" t="s">
        <v>64</v>
      </c>
      <c r="B45" s="6" t="s">
        <v>54</v>
      </c>
      <c r="C45" s="12" t="s">
        <v>190</v>
      </c>
      <c r="D45" s="7" t="s">
        <v>215</v>
      </c>
      <c r="E45" s="7" t="s">
        <v>216</v>
      </c>
      <c r="F45" s="7" t="s">
        <v>84</v>
      </c>
      <c r="G45" s="7" t="s">
        <v>217</v>
      </c>
      <c r="H45" s="7" t="s">
        <v>218</v>
      </c>
      <c r="I45" s="158"/>
      <c r="J45" s="158"/>
      <c r="K45" s="159">
        <v>468281</v>
      </c>
      <c r="L45" s="160">
        <v>401310</v>
      </c>
      <c r="M45" s="159">
        <v>418031</v>
      </c>
      <c r="N45" s="160">
        <v>193966.5</v>
      </c>
      <c r="O45" s="339">
        <v>383000</v>
      </c>
      <c r="P45" s="9">
        <v>60196.5</v>
      </c>
      <c r="Q45" s="11">
        <v>105000</v>
      </c>
      <c r="R45" s="11">
        <v>105000</v>
      </c>
      <c r="S45" s="308" t="s">
        <v>219</v>
      </c>
    </row>
    <row r="46" spans="1:19" ht="13.5" thickBot="1">
      <c r="A46" s="5" t="s">
        <v>64</v>
      </c>
      <c r="B46" s="6" t="s">
        <v>54</v>
      </c>
      <c r="C46" s="12" t="s">
        <v>190</v>
      </c>
      <c r="D46" s="7" t="s">
        <v>220</v>
      </c>
      <c r="E46" s="7" t="s">
        <v>221</v>
      </c>
      <c r="F46" s="7" t="s">
        <v>152</v>
      </c>
      <c r="G46" s="7" t="s">
        <v>188</v>
      </c>
      <c r="H46" s="7" t="s">
        <v>175</v>
      </c>
      <c r="I46" s="158"/>
      <c r="J46" s="158"/>
      <c r="K46" s="8"/>
      <c r="L46" s="9"/>
      <c r="M46" s="8">
        <v>0</v>
      </c>
      <c r="N46" s="9">
        <v>45980.11</v>
      </c>
      <c r="O46" s="340"/>
      <c r="P46" s="160"/>
      <c r="S46" s="308"/>
    </row>
    <row r="47" spans="1:19" ht="13.5" thickBot="1">
      <c r="A47" s="5" t="s">
        <v>64</v>
      </c>
      <c r="B47" s="6" t="s">
        <v>54</v>
      </c>
      <c r="C47" s="12" t="s">
        <v>190</v>
      </c>
      <c r="D47" s="7" t="s">
        <v>222</v>
      </c>
      <c r="E47" s="7" t="s">
        <v>223</v>
      </c>
      <c r="F47" s="7" t="s">
        <v>76</v>
      </c>
      <c r="G47" s="7" t="s">
        <v>197</v>
      </c>
      <c r="H47" s="7" t="s">
        <v>175</v>
      </c>
      <c r="I47" s="158"/>
      <c r="J47" s="158"/>
      <c r="K47" s="8">
        <v>600</v>
      </c>
      <c r="L47" s="9">
        <v>0</v>
      </c>
      <c r="M47" s="8">
        <v>600</v>
      </c>
      <c r="N47" s="9">
        <v>0</v>
      </c>
      <c r="O47" s="340">
        <v>0</v>
      </c>
      <c r="P47" s="160"/>
      <c r="Q47" s="11">
        <v>300</v>
      </c>
      <c r="R47" s="11">
        <v>200</v>
      </c>
      <c r="S47" s="308"/>
    </row>
    <row r="48" spans="1:19" ht="13.5" thickBot="1">
      <c r="A48" s="5" t="s">
        <v>64</v>
      </c>
      <c r="B48" s="6" t="s">
        <v>54</v>
      </c>
      <c r="C48" s="12" t="s">
        <v>190</v>
      </c>
      <c r="D48" s="7" t="s">
        <v>222</v>
      </c>
      <c r="E48" s="7" t="s">
        <v>223</v>
      </c>
      <c r="F48" s="7" t="s">
        <v>78</v>
      </c>
      <c r="G48" s="7" t="s">
        <v>176</v>
      </c>
      <c r="H48" s="7" t="s">
        <v>175</v>
      </c>
      <c r="I48" s="158"/>
      <c r="J48" s="158"/>
      <c r="K48" s="8">
        <v>6500</v>
      </c>
      <c r="L48" s="9">
        <v>2560.9499999999998</v>
      </c>
      <c r="M48" s="159">
        <v>6500</v>
      </c>
      <c r="N48" s="160">
        <v>1695.05</v>
      </c>
      <c r="O48" s="340">
        <v>0</v>
      </c>
      <c r="P48" s="160">
        <v>0</v>
      </c>
      <c r="Q48" s="11">
        <v>6500</v>
      </c>
      <c r="R48" s="11">
        <v>6500</v>
      </c>
      <c r="S48" s="308"/>
    </row>
    <row r="49" spans="1:18" ht="13.5" thickBot="1">
      <c r="A49" s="5" t="s">
        <v>64</v>
      </c>
      <c r="B49" s="6" t="s">
        <v>54</v>
      </c>
      <c r="C49" s="12" t="s">
        <v>190</v>
      </c>
      <c r="D49" s="7" t="s">
        <v>222</v>
      </c>
      <c r="E49" s="7" t="s">
        <v>223</v>
      </c>
      <c r="F49" s="7" t="s">
        <v>78</v>
      </c>
      <c r="G49" s="7" t="s">
        <v>176</v>
      </c>
      <c r="H49" s="7" t="s">
        <v>211</v>
      </c>
      <c r="I49" s="158"/>
      <c r="J49" s="158"/>
      <c r="K49" s="8">
        <v>0</v>
      </c>
      <c r="L49" s="9">
        <v>-2538.46</v>
      </c>
      <c r="M49" s="159">
        <v>0</v>
      </c>
      <c r="N49" s="160">
        <v>15.72</v>
      </c>
      <c r="O49" s="340">
        <v>0</v>
      </c>
      <c r="P49" s="160"/>
      <c r="Q49" s="11">
        <v>0</v>
      </c>
      <c r="R49" s="11">
        <v>0</v>
      </c>
    </row>
    <row r="50" spans="1:18" ht="13.5" thickBot="1">
      <c r="A50" s="5" t="s">
        <v>64</v>
      </c>
      <c r="B50" s="6" t="s">
        <v>54</v>
      </c>
      <c r="C50" s="12" t="s">
        <v>190</v>
      </c>
      <c r="D50" s="7" t="s">
        <v>222</v>
      </c>
      <c r="E50" s="7" t="s">
        <v>223</v>
      </c>
      <c r="F50" s="7" t="s">
        <v>85</v>
      </c>
      <c r="G50" s="7" t="s">
        <v>201</v>
      </c>
      <c r="H50" s="7" t="s">
        <v>175</v>
      </c>
      <c r="I50" s="158"/>
      <c r="J50" s="158"/>
      <c r="K50" s="8">
        <v>0</v>
      </c>
      <c r="L50" s="9">
        <v>246.34</v>
      </c>
      <c r="M50" s="159"/>
      <c r="N50" s="160"/>
      <c r="O50" s="340">
        <v>0</v>
      </c>
      <c r="P50" s="160"/>
      <c r="Q50" s="11">
        <v>0</v>
      </c>
      <c r="R50" s="11">
        <v>0</v>
      </c>
    </row>
    <row r="51" spans="1:18" ht="13.5" thickBot="1">
      <c r="A51" s="5" t="s">
        <v>64</v>
      </c>
      <c r="B51" s="6" t="s">
        <v>54</v>
      </c>
      <c r="C51" s="12" t="s">
        <v>190</v>
      </c>
      <c r="D51" s="7" t="s">
        <v>222</v>
      </c>
      <c r="E51" s="7" t="s">
        <v>223</v>
      </c>
      <c r="F51" s="7" t="s">
        <v>86</v>
      </c>
      <c r="G51" s="7" t="s">
        <v>179</v>
      </c>
      <c r="H51" s="7" t="s">
        <v>211</v>
      </c>
      <c r="I51" s="158"/>
      <c r="J51" s="158"/>
      <c r="K51" s="8"/>
      <c r="L51" s="9"/>
      <c r="M51" s="159">
        <v>0</v>
      </c>
      <c r="N51" s="160">
        <v>231.68</v>
      </c>
      <c r="O51" s="340"/>
      <c r="P51" s="160"/>
      <c r="Q51" s="11"/>
      <c r="R51" s="11"/>
    </row>
    <row r="52" spans="1:18" ht="13.5" thickBot="1">
      <c r="A52" s="5" t="s">
        <v>64</v>
      </c>
      <c r="B52" s="6" t="s">
        <v>54</v>
      </c>
      <c r="C52" s="12" t="s">
        <v>190</v>
      </c>
      <c r="D52" s="7" t="s">
        <v>222</v>
      </c>
      <c r="E52" s="7" t="s">
        <v>223</v>
      </c>
      <c r="F52" s="7" t="s">
        <v>86</v>
      </c>
      <c r="G52" s="7" t="s">
        <v>179</v>
      </c>
      <c r="H52" s="7" t="s">
        <v>175</v>
      </c>
      <c r="I52" s="158"/>
      <c r="J52" s="158"/>
      <c r="K52" s="8">
        <v>8000</v>
      </c>
      <c r="L52" s="9">
        <v>1844.47</v>
      </c>
      <c r="M52" s="8">
        <v>8000</v>
      </c>
      <c r="N52" s="9">
        <v>6572.03</v>
      </c>
      <c r="O52" s="339">
        <v>0</v>
      </c>
      <c r="P52" s="9">
        <v>0</v>
      </c>
      <c r="Q52" s="178">
        <v>7000</v>
      </c>
      <c r="R52" s="11">
        <v>6500</v>
      </c>
    </row>
    <row r="53" spans="1:18" ht="13.5" thickBot="1">
      <c r="A53" s="5" t="s">
        <v>64</v>
      </c>
      <c r="B53" s="6" t="s">
        <v>54</v>
      </c>
      <c r="C53" s="12" t="s">
        <v>190</v>
      </c>
      <c r="D53" s="7" t="s">
        <v>222</v>
      </c>
      <c r="E53" s="7" t="s">
        <v>223</v>
      </c>
      <c r="F53" s="7" t="s">
        <v>89</v>
      </c>
      <c r="G53" s="7" t="s">
        <v>183</v>
      </c>
      <c r="H53" s="7" t="s">
        <v>175</v>
      </c>
      <c r="I53" s="158"/>
      <c r="J53" s="158"/>
      <c r="K53" s="8">
        <v>0</v>
      </c>
      <c r="L53" s="9">
        <v>79.72</v>
      </c>
      <c r="M53" s="8"/>
      <c r="N53" s="9"/>
      <c r="O53" s="339">
        <v>0</v>
      </c>
      <c r="P53" s="9"/>
      <c r="Q53" s="178">
        <v>0</v>
      </c>
      <c r="R53" s="11">
        <v>0</v>
      </c>
    </row>
    <row r="54" spans="1:18" ht="13.5" thickBot="1">
      <c r="A54" s="5" t="s">
        <v>64</v>
      </c>
      <c r="B54" s="6" t="s">
        <v>54</v>
      </c>
      <c r="C54" s="12" t="s">
        <v>190</v>
      </c>
      <c r="D54" s="7" t="s">
        <v>222</v>
      </c>
      <c r="E54" s="7" t="s">
        <v>223</v>
      </c>
      <c r="F54" s="7" t="s">
        <v>89</v>
      </c>
      <c r="G54" s="7" t="s">
        <v>183</v>
      </c>
      <c r="H54" s="7" t="s">
        <v>211</v>
      </c>
      <c r="I54" s="158"/>
      <c r="J54" s="158"/>
      <c r="K54" s="8"/>
      <c r="L54" s="9"/>
      <c r="M54" s="8">
        <v>0</v>
      </c>
      <c r="N54" s="9">
        <v>194.78</v>
      </c>
      <c r="O54" s="339"/>
      <c r="P54" s="9"/>
      <c r="Q54" s="11"/>
      <c r="R54" s="11"/>
    </row>
    <row r="55" spans="1:18" ht="13.5" thickBot="1">
      <c r="A55" s="5" t="s">
        <v>64</v>
      </c>
      <c r="B55" s="6" t="s">
        <v>54</v>
      </c>
      <c r="C55" s="12" t="s">
        <v>190</v>
      </c>
      <c r="D55" s="7" t="s">
        <v>222</v>
      </c>
      <c r="E55" s="7" t="s">
        <v>223</v>
      </c>
      <c r="F55" s="7" t="s">
        <v>90</v>
      </c>
      <c r="G55" s="7" t="s">
        <v>184</v>
      </c>
      <c r="H55" s="7" t="s">
        <v>224</v>
      </c>
      <c r="I55" s="158"/>
      <c r="J55" s="158"/>
      <c r="K55" s="8">
        <v>500</v>
      </c>
      <c r="L55" s="9">
        <v>0</v>
      </c>
      <c r="M55" s="8">
        <v>500</v>
      </c>
      <c r="N55" s="9">
        <v>0</v>
      </c>
      <c r="O55" s="340">
        <v>0</v>
      </c>
      <c r="P55" s="160"/>
      <c r="Q55" s="11">
        <v>300</v>
      </c>
      <c r="R55" s="11">
        <v>200</v>
      </c>
    </row>
    <row r="56" spans="1:18" ht="13.5" thickBot="1">
      <c r="A56" s="5" t="s">
        <v>64</v>
      </c>
      <c r="B56" s="6" t="s">
        <v>54</v>
      </c>
      <c r="C56" s="12" t="s">
        <v>190</v>
      </c>
      <c r="D56" s="7" t="s">
        <v>222</v>
      </c>
      <c r="E56" s="7" t="s">
        <v>223</v>
      </c>
      <c r="F56" s="7" t="s">
        <v>90</v>
      </c>
      <c r="G56" s="7" t="s">
        <v>184</v>
      </c>
      <c r="H56" s="7" t="s">
        <v>175</v>
      </c>
      <c r="I56" s="158"/>
      <c r="J56" s="158"/>
      <c r="K56" s="8">
        <v>900</v>
      </c>
      <c r="L56" s="9">
        <v>0</v>
      </c>
      <c r="M56" s="8">
        <v>900</v>
      </c>
      <c r="N56" s="9">
        <v>0</v>
      </c>
      <c r="O56" s="339">
        <v>0</v>
      </c>
      <c r="P56" s="9"/>
      <c r="Q56" s="178">
        <v>900</v>
      </c>
      <c r="R56" s="11">
        <v>900</v>
      </c>
    </row>
    <row r="57" spans="1:18" ht="13.5" thickBot="1">
      <c r="A57" s="5" t="s">
        <v>64</v>
      </c>
      <c r="B57" s="6" t="s">
        <v>54</v>
      </c>
      <c r="C57" s="12" t="s">
        <v>190</v>
      </c>
      <c r="D57" s="7" t="s">
        <v>222</v>
      </c>
      <c r="E57" s="7" t="s">
        <v>223</v>
      </c>
      <c r="F57" s="7" t="s">
        <v>102</v>
      </c>
      <c r="G57" s="7" t="s">
        <v>225</v>
      </c>
      <c r="H57" s="7" t="s">
        <v>211</v>
      </c>
      <c r="I57" s="158"/>
      <c r="J57" s="158"/>
      <c r="K57" s="8"/>
      <c r="L57" s="9"/>
      <c r="M57" s="8"/>
      <c r="N57" s="9"/>
      <c r="O57" s="339"/>
      <c r="P57" s="9">
        <v>190.05</v>
      </c>
      <c r="Q57" s="179"/>
      <c r="R57" s="11"/>
    </row>
    <row r="58" spans="1:18" ht="13.5" thickBot="1">
      <c r="A58" s="5" t="s">
        <v>64</v>
      </c>
      <c r="B58" s="6" t="s">
        <v>54</v>
      </c>
      <c r="C58" s="12" t="s">
        <v>190</v>
      </c>
      <c r="D58" s="7" t="s">
        <v>222</v>
      </c>
      <c r="E58" s="7" t="s">
        <v>223</v>
      </c>
      <c r="F58" s="7" t="s">
        <v>122</v>
      </c>
      <c r="G58" s="7" t="s">
        <v>205</v>
      </c>
      <c r="H58" s="7" t="s">
        <v>175</v>
      </c>
      <c r="I58" s="158"/>
      <c r="J58" s="158"/>
      <c r="K58" s="8">
        <v>675</v>
      </c>
      <c r="L58" s="9">
        <v>0</v>
      </c>
      <c r="M58" s="8">
        <v>675</v>
      </c>
      <c r="N58" s="9">
        <v>0</v>
      </c>
      <c r="O58" s="339">
        <v>0</v>
      </c>
      <c r="P58" s="9"/>
      <c r="Q58" s="179">
        <v>675</v>
      </c>
      <c r="R58" s="11">
        <v>675</v>
      </c>
    </row>
    <row r="59" spans="1:18" ht="13.5" thickBot="1">
      <c r="A59" s="5" t="s">
        <v>64</v>
      </c>
      <c r="B59" s="6" t="s">
        <v>54</v>
      </c>
      <c r="C59" s="12" t="s">
        <v>190</v>
      </c>
      <c r="D59" s="7" t="s">
        <v>222</v>
      </c>
      <c r="E59" s="7" t="s">
        <v>223</v>
      </c>
      <c r="F59" s="7" t="s">
        <v>141</v>
      </c>
      <c r="G59" s="7" t="s">
        <v>226</v>
      </c>
      <c r="H59" s="7" t="s">
        <v>175</v>
      </c>
      <c r="I59" s="158"/>
      <c r="J59" s="158"/>
      <c r="K59" s="8">
        <v>0</v>
      </c>
      <c r="L59" s="9">
        <v>680.99</v>
      </c>
      <c r="M59" s="8"/>
      <c r="N59" s="9"/>
      <c r="O59" s="339">
        <v>0</v>
      </c>
      <c r="P59" s="9"/>
      <c r="Q59" s="11">
        <v>0</v>
      </c>
      <c r="R59" s="11">
        <v>0</v>
      </c>
    </row>
    <row r="60" spans="1:18" ht="13.5" thickBot="1">
      <c r="A60" s="5" t="s">
        <v>64</v>
      </c>
      <c r="B60" s="6" t="s">
        <v>54</v>
      </c>
      <c r="C60" s="12" t="s">
        <v>190</v>
      </c>
      <c r="D60" s="7" t="s">
        <v>222</v>
      </c>
      <c r="E60" s="7" t="s">
        <v>223</v>
      </c>
      <c r="F60" s="7" t="s">
        <v>142</v>
      </c>
      <c r="G60" s="7" t="s">
        <v>187</v>
      </c>
      <c r="H60" s="7" t="s">
        <v>211</v>
      </c>
      <c r="I60" s="158"/>
      <c r="J60" s="158"/>
      <c r="K60" s="8">
        <v>0</v>
      </c>
      <c r="L60" s="9">
        <v>325.67</v>
      </c>
      <c r="M60" s="159">
        <v>0</v>
      </c>
      <c r="N60" s="160">
        <v>2970.12</v>
      </c>
      <c r="O60" s="340">
        <v>0</v>
      </c>
      <c r="P60" s="160"/>
      <c r="Q60" s="11">
        <v>2500</v>
      </c>
      <c r="R60" s="11">
        <v>2500</v>
      </c>
    </row>
    <row r="61" spans="1:18" ht="13.5" thickBot="1">
      <c r="A61" s="5" t="s">
        <v>64</v>
      </c>
      <c r="B61" s="6" t="s">
        <v>54</v>
      </c>
      <c r="C61" s="12" t="s">
        <v>190</v>
      </c>
      <c r="D61" s="7" t="s">
        <v>222</v>
      </c>
      <c r="E61" s="7" t="s">
        <v>223</v>
      </c>
      <c r="F61" s="7" t="s">
        <v>142</v>
      </c>
      <c r="G61" s="7" t="s">
        <v>187</v>
      </c>
      <c r="H61" s="7" t="s">
        <v>175</v>
      </c>
      <c r="I61" s="158"/>
      <c r="J61" s="158"/>
      <c r="K61" s="8"/>
      <c r="L61" s="9"/>
      <c r="M61" s="159">
        <v>0</v>
      </c>
      <c r="N61" s="160">
        <v>343.95</v>
      </c>
      <c r="O61" s="339">
        <v>0</v>
      </c>
      <c r="P61" s="9"/>
      <c r="Q61" s="179">
        <v>0</v>
      </c>
      <c r="R61" s="11">
        <v>0</v>
      </c>
    </row>
    <row r="62" spans="1:18" ht="13.5" thickBot="1">
      <c r="A62" s="5" t="s">
        <v>64</v>
      </c>
      <c r="B62" s="6" t="s">
        <v>54</v>
      </c>
      <c r="C62" s="12" t="s">
        <v>190</v>
      </c>
      <c r="D62" s="7" t="s">
        <v>222</v>
      </c>
      <c r="E62" s="7" t="s">
        <v>223</v>
      </c>
      <c r="F62" s="7" t="s">
        <v>145</v>
      </c>
      <c r="G62" s="7" t="s">
        <v>227</v>
      </c>
      <c r="H62" s="7" t="s">
        <v>175</v>
      </c>
      <c r="I62" s="158"/>
      <c r="J62" s="158"/>
      <c r="K62" s="159">
        <v>0</v>
      </c>
      <c r="L62" s="160">
        <v>2223.1999999999998</v>
      </c>
      <c r="M62" s="8">
        <v>0</v>
      </c>
      <c r="N62" s="9">
        <v>695</v>
      </c>
      <c r="O62" s="340">
        <v>0</v>
      </c>
      <c r="P62" s="348"/>
      <c r="Q62" s="11">
        <v>0</v>
      </c>
      <c r="R62" s="11">
        <v>0</v>
      </c>
    </row>
    <row r="63" spans="1:18" s="91" customFormat="1" ht="13.5" thickBot="1">
      <c r="A63" s="333" t="s">
        <v>64</v>
      </c>
      <c r="B63" s="334">
        <v>12</v>
      </c>
      <c r="C63" s="334" t="s">
        <v>228</v>
      </c>
      <c r="D63" s="335" t="s">
        <v>229</v>
      </c>
      <c r="E63" s="108" t="s">
        <v>230</v>
      </c>
      <c r="F63" s="335" t="s">
        <v>70</v>
      </c>
      <c r="G63" s="335" t="s">
        <v>231</v>
      </c>
      <c r="H63" s="108">
        <v>672000</v>
      </c>
      <c r="I63" s="165"/>
      <c r="J63" s="165"/>
      <c r="K63" s="168"/>
      <c r="L63" s="169"/>
      <c r="M63" s="109"/>
      <c r="N63" s="110"/>
      <c r="O63" s="341">
        <v>-22171.51</v>
      </c>
      <c r="P63" s="169"/>
      <c r="Q63" s="336"/>
      <c r="R63" s="336"/>
    </row>
    <row r="64" spans="1:18" ht="13.5" thickBot="1">
      <c r="A64" s="95" t="s">
        <v>64</v>
      </c>
      <c r="B64" s="96">
        <v>12</v>
      </c>
      <c r="C64" s="96" t="s">
        <v>228</v>
      </c>
      <c r="D64" s="97" t="s">
        <v>229</v>
      </c>
      <c r="E64" s="97" t="s">
        <v>230</v>
      </c>
      <c r="F64" s="97" t="s">
        <v>71</v>
      </c>
      <c r="G64" s="97" t="s">
        <v>232</v>
      </c>
      <c r="H64" s="97" t="s">
        <v>233</v>
      </c>
      <c r="I64" s="97" t="s">
        <v>194</v>
      </c>
      <c r="J64" s="162"/>
      <c r="K64" s="98">
        <v>2500</v>
      </c>
      <c r="L64" s="99">
        <v>0</v>
      </c>
      <c r="M64" s="163"/>
      <c r="N64" s="164"/>
      <c r="O64" s="341"/>
      <c r="P64" s="164"/>
      <c r="Q64" s="180"/>
      <c r="R64" s="180"/>
    </row>
    <row r="65" spans="1:19" ht="13.5" thickBot="1">
      <c r="A65" s="95" t="s">
        <v>64</v>
      </c>
      <c r="B65" s="96">
        <v>12</v>
      </c>
      <c r="C65" s="96" t="s">
        <v>228</v>
      </c>
      <c r="D65" s="97" t="s">
        <v>229</v>
      </c>
      <c r="E65" s="97" t="s">
        <v>230</v>
      </c>
      <c r="F65" s="97" t="s">
        <v>74</v>
      </c>
      <c r="G65" s="97" t="s">
        <v>234</v>
      </c>
      <c r="H65" s="97" t="s">
        <v>233</v>
      </c>
      <c r="I65" s="162"/>
      <c r="J65" s="162"/>
      <c r="K65" s="163"/>
      <c r="L65" s="164"/>
      <c r="M65" s="98">
        <v>0</v>
      </c>
      <c r="N65" s="99">
        <v>22606.21</v>
      </c>
      <c r="O65" s="341"/>
      <c r="P65" s="164"/>
      <c r="Q65" s="180"/>
      <c r="R65" s="180"/>
      <c r="S65" s="308"/>
    </row>
    <row r="66" spans="1:19" ht="13.5" thickBot="1">
      <c r="A66" s="95" t="s">
        <v>64</v>
      </c>
      <c r="B66" s="96">
        <v>12</v>
      </c>
      <c r="C66" s="96" t="s">
        <v>228</v>
      </c>
      <c r="D66" s="97" t="s">
        <v>229</v>
      </c>
      <c r="E66" s="97" t="s">
        <v>230</v>
      </c>
      <c r="F66" s="97" t="s">
        <v>75</v>
      </c>
      <c r="G66" s="97" t="s">
        <v>174</v>
      </c>
      <c r="H66" s="97" t="s">
        <v>233</v>
      </c>
      <c r="I66" s="162"/>
      <c r="J66" s="162"/>
      <c r="K66" s="98">
        <v>200</v>
      </c>
      <c r="L66" s="99">
        <v>179.43</v>
      </c>
      <c r="M66" s="98">
        <v>250</v>
      </c>
      <c r="N66" s="99">
        <v>0</v>
      </c>
      <c r="O66" s="342">
        <v>250</v>
      </c>
      <c r="P66" s="99">
        <v>0</v>
      </c>
      <c r="Q66" s="117">
        <v>150</v>
      </c>
      <c r="R66" s="117">
        <v>100</v>
      </c>
      <c r="S66" s="308"/>
    </row>
    <row r="67" spans="1:19" ht="13.5" thickBot="1">
      <c r="A67" s="95" t="s">
        <v>64</v>
      </c>
      <c r="B67" s="96">
        <v>12</v>
      </c>
      <c r="C67" s="96" t="s">
        <v>228</v>
      </c>
      <c r="D67" s="97" t="s">
        <v>229</v>
      </c>
      <c r="E67" s="97" t="s">
        <v>230</v>
      </c>
      <c r="F67" s="97" t="s">
        <v>78</v>
      </c>
      <c r="G67" s="97" t="s">
        <v>176</v>
      </c>
      <c r="H67" s="97" t="s">
        <v>233</v>
      </c>
      <c r="I67" s="162"/>
      <c r="J67" s="162"/>
      <c r="K67" s="98">
        <v>30400</v>
      </c>
      <c r="L67" s="99">
        <v>18292.5</v>
      </c>
      <c r="M67" s="98">
        <v>30900</v>
      </c>
      <c r="N67" s="99">
        <v>8824.92</v>
      </c>
      <c r="O67" s="342">
        <v>30900</v>
      </c>
      <c r="P67" s="99">
        <v>5185.42</v>
      </c>
      <c r="Q67" s="117">
        <v>20000</v>
      </c>
      <c r="R67" s="117">
        <v>15000</v>
      </c>
      <c r="S67" s="308"/>
    </row>
    <row r="68" spans="1:19" ht="13.5" thickBot="1">
      <c r="A68" s="95" t="s">
        <v>64</v>
      </c>
      <c r="B68" s="96">
        <v>12</v>
      </c>
      <c r="C68" s="96" t="s">
        <v>228</v>
      </c>
      <c r="D68" s="97" t="s">
        <v>229</v>
      </c>
      <c r="E68" s="97" t="s">
        <v>230</v>
      </c>
      <c r="F68" s="97" t="s">
        <v>83</v>
      </c>
      <c r="G68" s="97" t="s">
        <v>178</v>
      </c>
      <c r="H68" s="97" t="s">
        <v>233</v>
      </c>
      <c r="I68" s="162"/>
      <c r="J68" s="162"/>
      <c r="K68" s="98">
        <v>152500</v>
      </c>
      <c r="L68" s="99">
        <v>111924.34</v>
      </c>
      <c r="M68" s="98">
        <v>205000</v>
      </c>
      <c r="N68" s="99">
        <v>109345.95</v>
      </c>
      <c r="O68" s="342">
        <v>155000</v>
      </c>
      <c r="P68" s="99">
        <v>26667.5</v>
      </c>
      <c r="Q68" s="117">
        <v>155000</v>
      </c>
      <c r="R68" s="117">
        <v>155000</v>
      </c>
      <c r="S68" s="308" t="s">
        <v>235</v>
      </c>
    </row>
    <row r="69" spans="1:19" ht="13.5" thickBot="1">
      <c r="A69" s="95" t="s">
        <v>64</v>
      </c>
      <c r="B69" s="96">
        <v>12</v>
      </c>
      <c r="C69" s="96" t="s">
        <v>228</v>
      </c>
      <c r="D69" s="97" t="s">
        <v>229</v>
      </c>
      <c r="E69" s="97" t="s">
        <v>230</v>
      </c>
      <c r="F69" s="97" t="s">
        <v>86</v>
      </c>
      <c r="G69" s="97" t="s">
        <v>179</v>
      </c>
      <c r="H69" s="97" t="s">
        <v>233</v>
      </c>
      <c r="I69" s="162"/>
      <c r="J69" s="162"/>
      <c r="K69" s="98">
        <v>18000</v>
      </c>
      <c r="L69" s="99">
        <v>14093.44</v>
      </c>
      <c r="M69" s="98">
        <v>24000</v>
      </c>
      <c r="N69" s="99">
        <v>6031.54</v>
      </c>
      <c r="O69" s="342">
        <f>35100-11100</f>
        <v>24000</v>
      </c>
      <c r="P69" s="99">
        <v>750</v>
      </c>
      <c r="Q69" s="117">
        <v>10000</v>
      </c>
      <c r="R69" s="117">
        <v>10000</v>
      </c>
      <c r="S69" s="308" t="s">
        <v>236</v>
      </c>
    </row>
    <row r="70" spans="1:19" ht="13.5" thickBot="1">
      <c r="A70" s="95" t="s">
        <v>64</v>
      </c>
      <c r="B70" s="96">
        <v>12</v>
      </c>
      <c r="C70" s="96" t="s">
        <v>228</v>
      </c>
      <c r="D70" s="97" t="s">
        <v>229</v>
      </c>
      <c r="E70" s="97" t="s">
        <v>230</v>
      </c>
      <c r="F70" s="97" t="s">
        <v>87</v>
      </c>
      <c r="G70" s="97" t="s">
        <v>237</v>
      </c>
      <c r="H70" s="97" t="s">
        <v>233</v>
      </c>
      <c r="I70" s="162"/>
      <c r="J70" s="162"/>
      <c r="K70" s="98">
        <v>6000</v>
      </c>
      <c r="L70" s="99">
        <v>56.84</v>
      </c>
      <c r="M70" s="163"/>
      <c r="N70" s="164"/>
      <c r="O70" s="341"/>
      <c r="P70" s="164"/>
      <c r="Q70" s="132"/>
      <c r="R70" s="132"/>
      <c r="S70" s="308"/>
    </row>
    <row r="71" spans="1:19" ht="13.5" thickBot="1">
      <c r="A71" s="95" t="s">
        <v>64</v>
      </c>
      <c r="B71" s="96">
        <v>12</v>
      </c>
      <c r="C71" s="96" t="s">
        <v>228</v>
      </c>
      <c r="D71" s="97" t="s">
        <v>229</v>
      </c>
      <c r="E71" s="97" t="s">
        <v>230</v>
      </c>
      <c r="F71" s="97" t="s">
        <v>88</v>
      </c>
      <c r="G71" s="97" t="s">
        <v>181</v>
      </c>
      <c r="H71" s="97" t="s">
        <v>233</v>
      </c>
      <c r="I71" s="162"/>
      <c r="J71" s="162"/>
      <c r="K71" s="163"/>
      <c r="L71" s="164"/>
      <c r="M71" s="98">
        <v>0</v>
      </c>
      <c r="N71" s="99">
        <v>756.99</v>
      </c>
      <c r="O71" s="342">
        <v>0</v>
      </c>
      <c r="P71" s="99">
        <v>299</v>
      </c>
      <c r="Q71" s="117">
        <v>10000</v>
      </c>
      <c r="R71" s="117">
        <v>8000</v>
      </c>
      <c r="S71" s="308" t="s">
        <v>236</v>
      </c>
    </row>
    <row r="72" spans="1:19" ht="13.5" thickBot="1">
      <c r="A72" s="95" t="s">
        <v>64</v>
      </c>
      <c r="B72" s="96">
        <v>12</v>
      </c>
      <c r="C72" s="96" t="s">
        <v>228</v>
      </c>
      <c r="D72" s="97" t="s">
        <v>229</v>
      </c>
      <c r="E72" s="97" t="s">
        <v>230</v>
      </c>
      <c r="F72" s="97" t="s">
        <v>89</v>
      </c>
      <c r="G72" s="97" t="s">
        <v>183</v>
      </c>
      <c r="H72" s="97" t="s">
        <v>233</v>
      </c>
      <c r="I72" s="162"/>
      <c r="J72" s="162"/>
      <c r="K72" s="98">
        <v>1800</v>
      </c>
      <c r="L72" s="99">
        <v>1857.6</v>
      </c>
      <c r="M72" s="98">
        <v>2000</v>
      </c>
      <c r="N72" s="99">
        <v>1206.01</v>
      </c>
      <c r="O72" s="342">
        <f>2200-200</f>
        <v>2000</v>
      </c>
      <c r="P72" s="99">
        <v>0</v>
      </c>
      <c r="Q72" s="117">
        <v>1500</v>
      </c>
      <c r="R72" s="117">
        <v>1500</v>
      </c>
      <c r="S72" s="308"/>
    </row>
    <row r="73" spans="1:19" ht="13.5" thickBot="1">
      <c r="A73" s="95" t="s">
        <v>64</v>
      </c>
      <c r="B73" s="96">
        <v>12</v>
      </c>
      <c r="C73" s="96" t="s">
        <v>228</v>
      </c>
      <c r="D73" s="97" t="s">
        <v>229</v>
      </c>
      <c r="E73" s="97" t="s">
        <v>230</v>
      </c>
      <c r="F73" s="97" t="s">
        <v>90</v>
      </c>
      <c r="G73" s="97" t="s">
        <v>184</v>
      </c>
      <c r="H73" s="97" t="s">
        <v>233</v>
      </c>
      <c r="I73" s="162"/>
      <c r="J73" s="162"/>
      <c r="K73" s="98">
        <v>2500</v>
      </c>
      <c r="L73" s="99">
        <v>4826.08</v>
      </c>
      <c r="M73" s="98">
        <v>3200</v>
      </c>
      <c r="N73" s="99">
        <v>1390.68</v>
      </c>
      <c r="O73" s="342">
        <f>1800-533</f>
        <v>1267</v>
      </c>
      <c r="P73" s="99">
        <v>0</v>
      </c>
      <c r="Q73" s="117">
        <v>1800</v>
      </c>
      <c r="R73" s="117">
        <v>1800</v>
      </c>
      <c r="S73" s="308"/>
    </row>
    <row r="74" spans="1:19" ht="13.5" thickBot="1">
      <c r="A74" s="95" t="s">
        <v>64</v>
      </c>
      <c r="B74" s="96">
        <v>12</v>
      </c>
      <c r="C74" s="96" t="s">
        <v>228</v>
      </c>
      <c r="D74" s="97" t="s">
        <v>229</v>
      </c>
      <c r="E74" s="97" t="s">
        <v>230</v>
      </c>
      <c r="F74" s="97" t="s">
        <v>106</v>
      </c>
      <c r="G74" s="97" t="s">
        <v>185</v>
      </c>
      <c r="H74" s="97" t="s">
        <v>233</v>
      </c>
      <c r="I74" s="162"/>
      <c r="J74" s="162"/>
      <c r="K74" s="98">
        <v>50000</v>
      </c>
      <c r="L74" s="99">
        <v>41553.61</v>
      </c>
      <c r="M74" s="98">
        <v>141250</v>
      </c>
      <c r="N74" s="99">
        <v>40306.11</v>
      </c>
      <c r="O74" s="342">
        <f>105825-825</f>
        <v>105000</v>
      </c>
      <c r="P74" s="99">
        <v>3339.78</v>
      </c>
      <c r="Q74" s="117">
        <v>105825</v>
      </c>
      <c r="R74" s="117">
        <v>105825</v>
      </c>
      <c r="S74" s="308"/>
    </row>
    <row r="75" spans="1:19" ht="13.5" thickBot="1">
      <c r="A75" s="95" t="s">
        <v>64</v>
      </c>
      <c r="B75" s="96">
        <v>12</v>
      </c>
      <c r="C75" s="96" t="s">
        <v>228</v>
      </c>
      <c r="D75" s="97" t="s">
        <v>229</v>
      </c>
      <c r="E75" s="97" t="s">
        <v>230</v>
      </c>
      <c r="F75" s="97" t="s">
        <v>111</v>
      </c>
      <c r="G75" s="97" t="s">
        <v>238</v>
      </c>
      <c r="H75" s="97" t="s">
        <v>239</v>
      </c>
      <c r="I75" s="97" t="s">
        <v>240</v>
      </c>
      <c r="J75" s="97" t="s">
        <v>241</v>
      </c>
      <c r="K75" s="98">
        <v>0</v>
      </c>
      <c r="L75" s="99">
        <v>0</v>
      </c>
      <c r="M75" s="163"/>
      <c r="N75" s="164"/>
      <c r="O75" s="341"/>
      <c r="P75" s="164"/>
      <c r="Q75" s="132"/>
      <c r="R75" s="132"/>
      <c r="S75" s="308"/>
    </row>
    <row r="76" spans="1:19" ht="13.5" thickBot="1">
      <c r="A76" s="95" t="s">
        <v>64</v>
      </c>
      <c r="B76" s="96">
        <v>12</v>
      </c>
      <c r="C76" s="96" t="s">
        <v>228</v>
      </c>
      <c r="D76" s="97" t="s">
        <v>229</v>
      </c>
      <c r="E76" s="97" t="s">
        <v>230</v>
      </c>
      <c r="F76" s="97" t="s">
        <v>114</v>
      </c>
      <c r="G76" s="97" t="s">
        <v>242</v>
      </c>
      <c r="H76" s="97" t="s">
        <v>233</v>
      </c>
      <c r="I76" s="162"/>
      <c r="J76" s="162"/>
      <c r="K76" s="163"/>
      <c r="L76" s="164"/>
      <c r="M76" s="163"/>
      <c r="N76" s="164"/>
      <c r="O76" s="342">
        <v>0</v>
      </c>
      <c r="P76" s="99">
        <v>2649</v>
      </c>
      <c r="Q76" s="117">
        <v>0</v>
      </c>
      <c r="R76" s="117">
        <v>0</v>
      </c>
      <c r="S76" s="308"/>
    </row>
    <row r="77" spans="1:19" ht="13.5" thickBot="1">
      <c r="A77" s="95" t="s">
        <v>64</v>
      </c>
      <c r="B77" s="96">
        <v>12</v>
      </c>
      <c r="C77" s="96" t="s">
        <v>228</v>
      </c>
      <c r="D77" s="97" t="s">
        <v>229</v>
      </c>
      <c r="E77" s="97" t="s">
        <v>230</v>
      </c>
      <c r="F77" s="97" t="s">
        <v>116</v>
      </c>
      <c r="G77" s="97" t="s">
        <v>243</v>
      </c>
      <c r="H77" s="97" t="s">
        <v>233</v>
      </c>
      <c r="I77" s="162"/>
      <c r="J77" s="162"/>
      <c r="K77" s="163"/>
      <c r="L77" s="164"/>
      <c r="M77" s="98">
        <v>0</v>
      </c>
      <c r="N77" s="99">
        <v>1206</v>
      </c>
      <c r="O77" s="341"/>
      <c r="P77" s="164"/>
      <c r="Q77" s="132"/>
      <c r="R77" s="132"/>
      <c r="S77" s="308"/>
    </row>
    <row r="78" spans="1:19" ht="13.5" thickBot="1">
      <c r="A78" s="95" t="s">
        <v>64</v>
      </c>
      <c r="B78" s="96">
        <v>12</v>
      </c>
      <c r="C78" s="96" t="s">
        <v>228</v>
      </c>
      <c r="D78" s="97" t="s">
        <v>229</v>
      </c>
      <c r="E78" s="97" t="s">
        <v>230</v>
      </c>
      <c r="F78" s="97" t="s">
        <v>119</v>
      </c>
      <c r="G78" s="97" t="s">
        <v>244</v>
      </c>
      <c r="H78" s="97" t="s">
        <v>233</v>
      </c>
      <c r="I78" s="162"/>
      <c r="J78" s="162"/>
      <c r="K78" s="98">
        <v>5000</v>
      </c>
      <c r="L78" s="99">
        <v>0</v>
      </c>
      <c r="M78" s="163"/>
      <c r="N78" s="164"/>
      <c r="O78" s="341"/>
      <c r="P78" s="164"/>
      <c r="Q78" s="132"/>
      <c r="R78" s="132"/>
      <c r="S78" s="308"/>
    </row>
    <row r="79" spans="1:19" ht="13.5" thickBot="1">
      <c r="A79" s="95" t="s">
        <v>64</v>
      </c>
      <c r="B79" s="96">
        <v>12</v>
      </c>
      <c r="C79" s="96" t="s">
        <v>228</v>
      </c>
      <c r="D79" s="97" t="s">
        <v>229</v>
      </c>
      <c r="E79" s="97" t="s">
        <v>230</v>
      </c>
      <c r="F79" s="97" t="s">
        <v>121</v>
      </c>
      <c r="G79" s="97" t="s">
        <v>245</v>
      </c>
      <c r="H79" s="97" t="s">
        <v>233</v>
      </c>
      <c r="I79" s="162"/>
      <c r="J79" s="162"/>
      <c r="K79" s="98">
        <v>0</v>
      </c>
      <c r="L79" s="99">
        <v>385948.61</v>
      </c>
      <c r="M79" s="163"/>
      <c r="N79" s="164"/>
      <c r="O79" s="341"/>
      <c r="P79" s="164"/>
      <c r="Q79" s="132"/>
      <c r="R79" s="132"/>
      <c r="S79" s="308"/>
    </row>
    <row r="80" spans="1:19" ht="13.5" thickBot="1">
      <c r="A80" s="95" t="s">
        <v>64</v>
      </c>
      <c r="B80" s="96">
        <v>12</v>
      </c>
      <c r="C80" s="96" t="s">
        <v>228</v>
      </c>
      <c r="D80" s="97" t="s">
        <v>229</v>
      </c>
      <c r="E80" s="97" t="s">
        <v>230</v>
      </c>
      <c r="F80" s="97" t="s">
        <v>126</v>
      </c>
      <c r="G80" s="97" t="s">
        <v>246</v>
      </c>
      <c r="H80" s="97" t="s">
        <v>233</v>
      </c>
      <c r="I80" s="162"/>
      <c r="J80" s="162"/>
      <c r="K80" s="98">
        <v>185000</v>
      </c>
      <c r="L80" s="99">
        <v>172360.32000000001</v>
      </c>
      <c r="M80" s="98">
        <v>185000</v>
      </c>
      <c r="N80" s="99">
        <v>222528.35</v>
      </c>
      <c r="O80" s="342">
        <v>185000</v>
      </c>
      <c r="P80" s="99">
        <v>28557.42</v>
      </c>
      <c r="Q80" s="117">
        <v>185000</v>
      </c>
      <c r="R80" s="117">
        <v>185000</v>
      </c>
      <c r="S80" s="308" t="s">
        <v>247</v>
      </c>
    </row>
    <row r="81" spans="1:18" ht="13.5" thickBot="1">
      <c r="A81" s="95" t="s">
        <v>64</v>
      </c>
      <c r="B81" s="96">
        <v>12</v>
      </c>
      <c r="C81" s="96" t="s">
        <v>228</v>
      </c>
      <c r="D81" s="97" t="s">
        <v>229</v>
      </c>
      <c r="E81" s="97" t="s">
        <v>230</v>
      </c>
      <c r="F81" s="97" t="s">
        <v>127</v>
      </c>
      <c r="G81" s="97" t="s">
        <v>248</v>
      </c>
      <c r="H81" s="97" t="s">
        <v>233</v>
      </c>
      <c r="I81" s="162"/>
      <c r="J81" s="162"/>
      <c r="K81" s="98">
        <v>21900</v>
      </c>
      <c r="L81" s="99">
        <v>20079.13</v>
      </c>
      <c r="M81" s="98">
        <v>21900</v>
      </c>
      <c r="N81" s="99">
        <v>14006.68</v>
      </c>
      <c r="O81" s="342">
        <v>21900</v>
      </c>
      <c r="P81" s="99">
        <v>454.33</v>
      </c>
      <c r="Q81" s="117">
        <v>21900</v>
      </c>
      <c r="R81" s="117">
        <v>21900</v>
      </c>
    </row>
    <row r="82" spans="1:18" ht="13.5" thickBot="1">
      <c r="A82" s="95" t="s">
        <v>64</v>
      </c>
      <c r="B82" s="96">
        <v>12</v>
      </c>
      <c r="C82" s="96" t="s">
        <v>228</v>
      </c>
      <c r="D82" s="97" t="s">
        <v>229</v>
      </c>
      <c r="E82" s="97" t="s">
        <v>230</v>
      </c>
      <c r="F82" s="97" t="s">
        <v>128</v>
      </c>
      <c r="G82" s="97" t="s">
        <v>249</v>
      </c>
      <c r="H82" s="97" t="s">
        <v>233</v>
      </c>
      <c r="I82" s="162"/>
      <c r="J82" s="162"/>
      <c r="K82" s="98">
        <v>0</v>
      </c>
      <c r="L82" s="99">
        <v>4287.3</v>
      </c>
      <c r="M82" s="98">
        <v>0</v>
      </c>
      <c r="N82" s="99">
        <v>42181.27</v>
      </c>
      <c r="O82" s="341"/>
      <c r="P82" s="164"/>
      <c r="Q82" s="132"/>
      <c r="R82" s="132"/>
    </row>
    <row r="83" spans="1:18" ht="13.5" thickBot="1">
      <c r="A83" s="95" t="s">
        <v>64</v>
      </c>
      <c r="B83" s="96">
        <v>12</v>
      </c>
      <c r="C83" s="96" t="s">
        <v>228</v>
      </c>
      <c r="D83" s="97" t="s">
        <v>229</v>
      </c>
      <c r="E83" s="97" t="s">
        <v>230</v>
      </c>
      <c r="F83" s="97" t="s">
        <v>129</v>
      </c>
      <c r="G83" s="97" t="s">
        <v>250</v>
      </c>
      <c r="H83" s="97" t="s">
        <v>233</v>
      </c>
      <c r="I83" s="162"/>
      <c r="J83" s="162"/>
      <c r="K83" s="98">
        <v>10000</v>
      </c>
      <c r="L83" s="99">
        <v>0</v>
      </c>
      <c r="M83" s="163"/>
      <c r="N83" s="164"/>
      <c r="O83" s="341"/>
      <c r="P83" s="164"/>
      <c r="Q83" s="132"/>
      <c r="R83" s="132"/>
    </row>
    <row r="84" spans="1:18" ht="13.5" thickBot="1">
      <c r="A84" s="95" t="s">
        <v>64</v>
      </c>
      <c r="B84" s="96">
        <v>12</v>
      </c>
      <c r="C84" s="96" t="s">
        <v>228</v>
      </c>
      <c r="D84" s="97" t="s">
        <v>229</v>
      </c>
      <c r="E84" s="97" t="s">
        <v>230</v>
      </c>
      <c r="F84" s="97" t="s">
        <v>130</v>
      </c>
      <c r="G84" s="97" t="s">
        <v>251</v>
      </c>
      <c r="H84" s="97" t="s">
        <v>233</v>
      </c>
      <c r="I84" s="162"/>
      <c r="J84" s="162"/>
      <c r="K84" s="163"/>
      <c r="L84" s="164"/>
      <c r="M84" s="98">
        <v>0</v>
      </c>
      <c r="N84" s="99">
        <v>416.15</v>
      </c>
      <c r="O84" s="341"/>
      <c r="P84" s="164"/>
      <c r="Q84" s="132"/>
      <c r="R84" s="132"/>
    </row>
    <row r="85" spans="1:18" ht="13.5" thickBot="1">
      <c r="A85" s="95" t="s">
        <v>64</v>
      </c>
      <c r="B85" s="96">
        <v>12</v>
      </c>
      <c r="C85" s="96" t="s">
        <v>228</v>
      </c>
      <c r="D85" s="97" t="s">
        <v>229</v>
      </c>
      <c r="E85" s="97" t="s">
        <v>230</v>
      </c>
      <c r="F85" s="97" t="s">
        <v>131</v>
      </c>
      <c r="G85" s="97" t="s">
        <v>206</v>
      </c>
      <c r="H85" s="97" t="s">
        <v>233</v>
      </c>
      <c r="I85" s="162"/>
      <c r="J85" s="162"/>
      <c r="K85" s="98">
        <v>2000</v>
      </c>
      <c r="L85" s="99">
        <v>0</v>
      </c>
      <c r="M85" s="98">
        <v>2000</v>
      </c>
      <c r="N85" s="99">
        <v>213.76</v>
      </c>
      <c r="O85" s="342">
        <v>2000</v>
      </c>
      <c r="P85" s="99">
        <v>0</v>
      </c>
      <c r="Q85" s="117">
        <v>1000</v>
      </c>
      <c r="R85" s="117">
        <v>1000</v>
      </c>
    </row>
    <row r="86" spans="1:18" ht="13.5" thickBot="1">
      <c r="A86" s="95" t="s">
        <v>64</v>
      </c>
      <c r="B86" s="96">
        <v>12</v>
      </c>
      <c r="C86" s="96" t="s">
        <v>228</v>
      </c>
      <c r="D86" s="97" t="s">
        <v>229</v>
      </c>
      <c r="E86" s="97" t="s">
        <v>230</v>
      </c>
      <c r="F86" s="97" t="s">
        <v>134</v>
      </c>
      <c r="G86" s="97" t="s">
        <v>252</v>
      </c>
      <c r="H86" s="97" t="s">
        <v>233</v>
      </c>
      <c r="I86" s="162"/>
      <c r="J86" s="162"/>
      <c r="K86" s="163"/>
      <c r="L86" s="164"/>
      <c r="M86" s="98">
        <v>0</v>
      </c>
      <c r="N86" s="99">
        <v>0</v>
      </c>
      <c r="O86" s="341"/>
      <c r="P86" s="164"/>
      <c r="Q86" s="132"/>
      <c r="R86" s="132"/>
    </row>
    <row r="87" spans="1:18" ht="13.5" thickBot="1">
      <c r="A87" s="95" t="s">
        <v>64</v>
      </c>
      <c r="B87" s="96">
        <v>12</v>
      </c>
      <c r="C87" s="96" t="s">
        <v>228</v>
      </c>
      <c r="D87" s="97" t="s">
        <v>229</v>
      </c>
      <c r="E87" s="97" t="s">
        <v>230</v>
      </c>
      <c r="F87" s="97" t="s">
        <v>135</v>
      </c>
      <c r="G87" s="97" t="s">
        <v>253</v>
      </c>
      <c r="H87" s="97" t="s">
        <v>233</v>
      </c>
      <c r="I87" s="162"/>
      <c r="J87" s="162"/>
      <c r="K87" s="98">
        <v>57309</v>
      </c>
      <c r="L87" s="99">
        <v>37050.07</v>
      </c>
      <c r="M87" s="98">
        <v>35000</v>
      </c>
      <c r="N87" s="99">
        <v>14506.32</v>
      </c>
      <c r="O87" s="342">
        <v>35000</v>
      </c>
      <c r="P87" s="99">
        <v>37603.4</v>
      </c>
      <c r="Q87" s="117">
        <v>38000</v>
      </c>
      <c r="R87" s="117">
        <v>38000</v>
      </c>
    </row>
    <row r="88" spans="1:18" ht="13.5" thickBot="1">
      <c r="A88" s="95" t="s">
        <v>64</v>
      </c>
      <c r="B88" s="96">
        <v>12</v>
      </c>
      <c r="C88" s="96" t="s">
        <v>228</v>
      </c>
      <c r="D88" s="97" t="s">
        <v>229</v>
      </c>
      <c r="E88" s="97" t="s">
        <v>230</v>
      </c>
      <c r="F88" s="97" t="s">
        <v>136</v>
      </c>
      <c r="G88" s="97" t="s">
        <v>254</v>
      </c>
      <c r="H88" s="97" t="s">
        <v>233</v>
      </c>
      <c r="I88" s="162"/>
      <c r="J88" s="162"/>
      <c r="K88" s="98">
        <v>15800</v>
      </c>
      <c r="L88" s="99">
        <v>3452.07</v>
      </c>
      <c r="M88" s="98">
        <v>15000</v>
      </c>
      <c r="N88" s="99">
        <v>53024</v>
      </c>
      <c r="O88" s="342">
        <v>15000</v>
      </c>
      <c r="P88" s="99">
        <v>3300</v>
      </c>
      <c r="Q88" s="117">
        <v>15000</v>
      </c>
      <c r="R88" s="117">
        <v>15000</v>
      </c>
    </row>
    <row r="89" spans="1:18" ht="13.5" thickBot="1">
      <c r="A89" s="95" t="s">
        <v>64</v>
      </c>
      <c r="B89" s="96">
        <v>12</v>
      </c>
      <c r="C89" s="96" t="s">
        <v>228</v>
      </c>
      <c r="D89" s="97" t="s">
        <v>229</v>
      </c>
      <c r="E89" s="97" t="s">
        <v>230</v>
      </c>
      <c r="F89" s="97" t="s">
        <v>137</v>
      </c>
      <c r="G89" s="97" t="s">
        <v>255</v>
      </c>
      <c r="H89" s="97" t="s">
        <v>233</v>
      </c>
      <c r="I89" s="162"/>
      <c r="J89" s="162"/>
      <c r="K89" s="98">
        <v>0</v>
      </c>
      <c r="L89" s="99">
        <v>4420</v>
      </c>
      <c r="M89" s="98">
        <v>0</v>
      </c>
      <c r="N89" s="99">
        <v>-2202.04</v>
      </c>
      <c r="O89" s="342">
        <v>0</v>
      </c>
      <c r="P89" s="99">
        <v>0</v>
      </c>
      <c r="Q89" s="117">
        <v>0</v>
      </c>
      <c r="R89" s="117">
        <v>0</v>
      </c>
    </row>
    <row r="90" spans="1:18" ht="13.5" thickBot="1">
      <c r="A90" s="95" t="s">
        <v>64</v>
      </c>
      <c r="B90" s="96">
        <v>12</v>
      </c>
      <c r="C90" s="96" t="s">
        <v>228</v>
      </c>
      <c r="D90" s="97" t="s">
        <v>229</v>
      </c>
      <c r="E90" s="97" t="s">
        <v>230</v>
      </c>
      <c r="F90" s="97" t="s">
        <v>142</v>
      </c>
      <c r="G90" s="97" t="s">
        <v>187</v>
      </c>
      <c r="H90" s="97" t="s">
        <v>233</v>
      </c>
      <c r="I90" s="162"/>
      <c r="J90" s="162"/>
      <c r="K90" s="163"/>
      <c r="L90" s="164"/>
      <c r="M90" s="98">
        <v>5000</v>
      </c>
      <c r="N90" s="99">
        <v>8351.9</v>
      </c>
      <c r="O90" s="342">
        <f>5600-600</f>
        <v>5000</v>
      </c>
      <c r="P90" s="99">
        <v>5500.52</v>
      </c>
      <c r="Q90" s="117">
        <v>5600</v>
      </c>
      <c r="R90" s="117">
        <v>5600</v>
      </c>
    </row>
    <row r="91" spans="1:18" ht="13.5" thickBot="1">
      <c r="A91" s="95" t="s">
        <v>64</v>
      </c>
      <c r="B91" s="96">
        <v>12</v>
      </c>
      <c r="C91" s="96" t="s">
        <v>228</v>
      </c>
      <c r="D91" s="97" t="s">
        <v>229</v>
      </c>
      <c r="E91" s="97" t="s">
        <v>230</v>
      </c>
      <c r="F91" s="97" t="s">
        <v>145</v>
      </c>
      <c r="G91" s="97" t="s">
        <v>227</v>
      </c>
      <c r="H91" s="97" t="s">
        <v>233</v>
      </c>
      <c r="I91" s="162"/>
      <c r="J91" s="162"/>
      <c r="K91" s="98">
        <v>0</v>
      </c>
      <c r="L91" s="99">
        <v>0</v>
      </c>
      <c r="M91" s="163"/>
      <c r="N91" s="164"/>
      <c r="O91" s="341"/>
      <c r="P91" s="164"/>
      <c r="Q91" s="132"/>
      <c r="R91" s="132"/>
    </row>
    <row r="92" spans="1:18" ht="13.5" thickBot="1">
      <c r="A92" s="95" t="s">
        <v>64</v>
      </c>
      <c r="B92" s="96">
        <v>12</v>
      </c>
      <c r="C92" s="96" t="s">
        <v>228</v>
      </c>
      <c r="D92" s="97" t="s">
        <v>229</v>
      </c>
      <c r="E92" s="97" t="s">
        <v>230</v>
      </c>
      <c r="F92" s="97" t="s">
        <v>146</v>
      </c>
      <c r="G92" s="97" t="s">
        <v>227</v>
      </c>
      <c r="H92" s="97" t="s">
        <v>233</v>
      </c>
      <c r="I92" s="162"/>
      <c r="J92" s="162"/>
      <c r="K92" s="98">
        <v>0</v>
      </c>
      <c r="L92" s="99">
        <v>11125.03</v>
      </c>
      <c r="M92" s="163"/>
      <c r="N92" s="164"/>
      <c r="O92" s="341"/>
      <c r="P92" s="164"/>
      <c r="Q92" s="132"/>
      <c r="R92" s="132"/>
    </row>
    <row r="93" spans="1:18" ht="13.5" thickBot="1">
      <c r="A93" s="95" t="s">
        <v>64</v>
      </c>
      <c r="B93" s="96">
        <v>12</v>
      </c>
      <c r="C93" s="96" t="s">
        <v>228</v>
      </c>
      <c r="D93" s="97" t="s">
        <v>229</v>
      </c>
      <c r="E93" s="97" t="s">
        <v>230</v>
      </c>
      <c r="F93" s="97" t="s">
        <v>147</v>
      </c>
      <c r="G93" s="97" t="s">
        <v>256</v>
      </c>
      <c r="H93" s="97" t="s">
        <v>233</v>
      </c>
      <c r="I93" s="162"/>
      <c r="J93" s="162"/>
      <c r="K93" s="98">
        <v>0</v>
      </c>
      <c r="L93" s="99">
        <v>7511.73</v>
      </c>
      <c r="M93" s="98">
        <v>0</v>
      </c>
      <c r="N93" s="99">
        <v>3929.66</v>
      </c>
      <c r="O93" s="341"/>
      <c r="P93" s="164"/>
      <c r="Q93" s="132"/>
      <c r="R93" s="132"/>
    </row>
    <row r="94" spans="1:18" ht="13.5" thickBot="1">
      <c r="A94" s="95" t="s">
        <v>64</v>
      </c>
      <c r="B94" s="96">
        <v>12</v>
      </c>
      <c r="C94" s="96" t="s">
        <v>228</v>
      </c>
      <c r="D94" s="97" t="s">
        <v>229</v>
      </c>
      <c r="E94" s="97" t="s">
        <v>230</v>
      </c>
      <c r="F94" s="97" t="s">
        <v>148</v>
      </c>
      <c r="G94" s="97" t="s">
        <v>256</v>
      </c>
      <c r="H94" s="97" t="s">
        <v>233</v>
      </c>
      <c r="I94" s="162"/>
      <c r="J94" s="162"/>
      <c r="K94" s="98">
        <v>5000</v>
      </c>
      <c r="L94" s="99">
        <v>0</v>
      </c>
      <c r="M94" s="98">
        <v>5000</v>
      </c>
      <c r="N94" s="99">
        <v>0</v>
      </c>
      <c r="O94" s="342">
        <v>5000</v>
      </c>
      <c r="P94" s="99">
        <v>0</v>
      </c>
      <c r="Q94" s="117">
        <v>5000</v>
      </c>
      <c r="R94" s="117">
        <v>5000</v>
      </c>
    </row>
    <row r="95" spans="1:18" ht="13.5" thickBot="1">
      <c r="A95" s="95" t="s">
        <v>64</v>
      </c>
      <c r="B95" s="96">
        <v>12</v>
      </c>
      <c r="C95" s="96" t="s">
        <v>228</v>
      </c>
      <c r="D95" s="97" t="s">
        <v>229</v>
      </c>
      <c r="E95" s="97" t="s">
        <v>230</v>
      </c>
      <c r="F95" s="97" t="s">
        <v>152</v>
      </c>
      <c r="G95" s="97" t="s">
        <v>188</v>
      </c>
      <c r="H95" s="97" t="s">
        <v>233</v>
      </c>
      <c r="I95" s="162"/>
      <c r="J95" s="162"/>
      <c r="K95" s="163"/>
      <c r="L95" s="164"/>
      <c r="M95" s="163"/>
      <c r="N95" s="164"/>
      <c r="O95" s="342">
        <v>0</v>
      </c>
      <c r="P95" s="99">
        <v>275000</v>
      </c>
      <c r="Q95" s="117">
        <v>0</v>
      </c>
      <c r="R95" s="117">
        <v>0</v>
      </c>
    </row>
    <row r="96" spans="1:18" s="91" customFormat="1" ht="13.5" thickBot="1">
      <c r="A96" s="113" t="s">
        <v>64</v>
      </c>
      <c r="B96" s="96">
        <v>12</v>
      </c>
      <c r="C96" s="96" t="s">
        <v>228</v>
      </c>
      <c r="D96" s="108" t="s">
        <v>229</v>
      </c>
      <c r="E96" s="108" t="s">
        <v>230</v>
      </c>
      <c r="F96" s="108" t="s">
        <v>257</v>
      </c>
      <c r="G96" s="108" t="s">
        <v>258</v>
      </c>
      <c r="H96" s="108" t="s">
        <v>233</v>
      </c>
      <c r="I96" s="165"/>
      <c r="J96" s="165"/>
      <c r="K96" s="109">
        <v>-27864815.079999998</v>
      </c>
      <c r="L96" s="110">
        <v>0</v>
      </c>
      <c r="M96" s="109">
        <v>-29346100</v>
      </c>
      <c r="N96" s="110">
        <v>0</v>
      </c>
      <c r="O96" s="342">
        <v>-29711494</v>
      </c>
      <c r="P96" s="110">
        <v>0</v>
      </c>
      <c r="Q96" s="127">
        <v>0</v>
      </c>
      <c r="R96" s="127">
        <v>0</v>
      </c>
    </row>
    <row r="97" spans="1:19" ht="13.5" thickBot="1">
      <c r="A97" s="95" t="s">
        <v>64</v>
      </c>
      <c r="B97" s="96">
        <v>12</v>
      </c>
      <c r="C97" s="96" t="s">
        <v>228</v>
      </c>
      <c r="D97" s="97" t="s">
        <v>229</v>
      </c>
      <c r="E97" s="97" t="s">
        <v>230</v>
      </c>
      <c r="F97" s="97" t="s">
        <v>259</v>
      </c>
      <c r="G97" s="97" t="s">
        <v>260</v>
      </c>
      <c r="H97" s="97" t="s">
        <v>233</v>
      </c>
      <c r="I97" s="162"/>
      <c r="J97" s="97" t="s">
        <v>203</v>
      </c>
      <c r="K97" s="163"/>
      <c r="L97" s="164"/>
      <c r="M97" s="163"/>
      <c r="N97" s="164"/>
      <c r="O97" s="342">
        <v>0</v>
      </c>
      <c r="P97" s="99">
        <v>0</v>
      </c>
      <c r="Q97" s="117">
        <v>0</v>
      </c>
      <c r="R97" s="117">
        <v>0</v>
      </c>
      <c r="S97" s="308"/>
    </row>
    <row r="98" spans="1:19" s="91" customFormat="1" ht="13.5" thickBot="1">
      <c r="A98" s="113" t="s">
        <v>64</v>
      </c>
      <c r="B98" s="96">
        <v>12</v>
      </c>
      <c r="C98" s="96" t="s">
        <v>228</v>
      </c>
      <c r="D98" s="108" t="s">
        <v>229</v>
      </c>
      <c r="E98" s="108" t="s">
        <v>230</v>
      </c>
      <c r="F98" s="108" t="s">
        <v>259</v>
      </c>
      <c r="G98" s="108" t="s">
        <v>260</v>
      </c>
      <c r="H98" s="108" t="s">
        <v>233</v>
      </c>
      <c r="I98" s="165"/>
      <c r="J98" s="165"/>
      <c r="K98" s="109">
        <v>25730328.719999999</v>
      </c>
      <c r="L98" s="110">
        <v>0</v>
      </c>
      <c r="M98" s="109">
        <v>20585678.079999998</v>
      </c>
      <c r="N98" s="110">
        <v>0</v>
      </c>
      <c r="O98" s="342">
        <v>67857213</v>
      </c>
      <c r="P98" s="110">
        <v>0</v>
      </c>
      <c r="Q98" s="127">
        <v>0</v>
      </c>
      <c r="R98" s="127">
        <v>0</v>
      </c>
    </row>
    <row r="99" spans="1:19" ht="13.5" thickBot="1">
      <c r="A99" s="95" t="s">
        <v>64</v>
      </c>
      <c r="B99" s="96">
        <v>12</v>
      </c>
      <c r="C99" s="96" t="s">
        <v>228</v>
      </c>
      <c r="D99" s="97" t="s">
        <v>261</v>
      </c>
      <c r="E99" s="97" t="s">
        <v>262</v>
      </c>
      <c r="F99" s="97" t="s">
        <v>86</v>
      </c>
      <c r="G99" s="97" t="s">
        <v>179</v>
      </c>
      <c r="H99" s="97" t="s">
        <v>233</v>
      </c>
      <c r="I99" s="162"/>
      <c r="J99" s="162"/>
      <c r="K99" s="163"/>
      <c r="L99" s="164"/>
      <c r="M99" s="163"/>
      <c r="N99" s="164"/>
      <c r="O99" s="342">
        <v>5100</v>
      </c>
      <c r="P99" s="99">
        <v>0</v>
      </c>
      <c r="Q99" s="133">
        <v>4947</v>
      </c>
      <c r="R99" s="133">
        <v>4845</v>
      </c>
      <c r="S99" s="308"/>
    </row>
    <row r="100" spans="1:19" ht="13.5" thickBot="1">
      <c r="A100" s="95" t="s">
        <v>64</v>
      </c>
      <c r="B100" s="96">
        <v>12</v>
      </c>
      <c r="C100" s="96" t="s">
        <v>228</v>
      </c>
      <c r="D100" s="97" t="s">
        <v>261</v>
      </c>
      <c r="E100" s="97" t="s">
        <v>262</v>
      </c>
      <c r="F100" s="97" t="s">
        <v>89</v>
      </c>
      <c r="G100" s="97" t="s">
        <v>183</v>
      </c>
      <c r="H100" s="97" t="s">
        <v>233</v>
      </c>
      <c r="I100" s="162"/>
      <c r="J100" s="162"/>
      <c r="K100" s="163"/>
      <c r="L100" s="164"/>
      <c r="M100" s="163"/>
      <c r="N100" s="164"/>
      <c r="O100" s="342">
        <v>200</v>
      </c>
      <c r="P100" s="99">
        <v>0</v>
      </c>
      <c r="Q100" s="133">
        <v>194</v>
      </c>
      <c r="R100" s="133">
        <v>190</v>
      </c>
      <c r="S100" s="308"/>
    </row>
    <row r="101" spans="1:19" ht="13.5" thickBot="1">
      <c r="A101" s="95" t="s">
        <v>64</v>
      </c>
      <c r="B101" s="96">
        <v>12</v>
      </c>
      <c r="C101" s="96" t="s">
        <v>228</v>
      </c>
      <c r="D101" s="97" t="s">
        <v>261</v>
      </c>
      <c r="E101" s="97" t="s">
        <v>262</v>
      </c>
      <c r="F101" s="97" t="s">
        <v>90</v>
      </c>
      <c r="G101" s="97" t="s">
        <v>184</v>
      </c>
      <c r="H101" s="97" t="s">
        <v>233</v>
      </c>
      <c r="I101" s="162"/>
      <c r="J101" s="162"/>
      <c r="K101" s="163"/>
      <c r="L101" s="164"/>
      <c r="M101" s="163"/>
      <c r="N101" s="164"/>
      <c r="O101" s="342">
        <v>533</v>
      </c>
      <c r="P101" s="99">
        <v>280</v>
      </c>
      <c r="Q101" s="133">
        <v>517</v>
      </c>
      <c r="R101" s="133">
        <v>506</v>
      </c>
      <c r="S101" s="308"/>
    </row>
    <row r="102" spans="1:19" ht="13.5" thickBot="1">
      <c r="A102" s="95" t="s">
        <v>64</v>
      </c>
      <c r="B102" s="96">
        <v>12</v>
      </c>
      <c r="C102" s="96" t="s">
        <v>228</v>
      </c>
      <c r="D102" s="97" t="s">
        <v>261</v>
      </c>
      <c r="E102" s="97" t="s">
        <v>262</v>
      </c>
      <c r="F102" s="97" t="s">
        <v>106</v>
      </c>
      <c r="G102" s="97" t="s">
        <v>185</v>
      </c>
      <c r="H102" s="97" t="s">
        <v>233</v>
      </c>
      <c r="I102" s="162"/>
      <c r="J102" s="162"/>
      <c r="K102" s="163"/>
      <c r="L102" s="164"/>
      <c r="M102" s="163"/>
      <c r="N102" s="164"/>
      <c r="O102" s="342">
        <v>40000</v>
      </c>
      <c r="P102" s="99">
        <v>0</v>
      </c>
      <c r="Q102" s="133">
        <v>38800</v>
      </c>
      <c r="R102" s="133">
        <v>38000</v>
      </c>
      <c r="S102" s="308" t="s">
        <v>263</v>
      </c>
    </row>
    <row r="103" spans="1:19" ht="13.5" thickBot="1">
      <c r="A103" s="95" t="s">
        <v>64</v>
      </c>
      <c r="B103" s="96">
        <v>12</v>
      </c>
      <c r="C103" s="96" t="s">
        <v>228</v>
      </c>
      <c r="D103" s="97" t="s">
        <v>261</v>
      </c>
      <c r="E103" s="97" t="s">
        <v>262</v>
      </c>
      <c r="F103" s="97" t="s">
        <v>131</v>
      </c>
      <c r="G103" s="97" t="s">
        <v>206</v>
      </c>
      <c r="H103" s="97" t="s">
        <v>233</v>
      </c>
      <c r="I103" s="162"/>
      <c r="J103" s="162"/>
      <c r="K103" s="163"/>
      <c r="L103" s="164"/>
      <c r="M103" s="163"/>
      <c r="N103" s="164"/>
      <c r="O103" s="342">
        <v>1000</v>
      </c>
      <c r="P103" s="99">
        <v>0</v>
      </c>
      <c r="Q103" s="134">
        <v>970</v>
      </c>
      <c r="R103" s="134">
        <v>950</v>
      </c>
      <c r="S103" s="308"/>
    </row>
    <row r="104" spans="1:19" ht="13.5" thickBot="1">
      <c r="A104" s="95" t="s">
        <v>64</v>
      </c>
      <c r="B104" s="96">
        <v>12</v>
      </c>
      <c r="C104" s="96" t="s">
        <v>228</v>
      </c>
      <c r="D104" s="97" t="s">
        <v>264</v>
      </c>
      <c r="E104" s="97" t="s">
        <v>265</v>
      </c>
      <c r="F104" s="97" t="s">
        <v>79</v>
      </c>
      <c r="G104" s="97" t="s">
        <v>266</v>
      </c>
      <c r="H104" s="97" t="s">
        <v>239</v>
      </c>
      <c r="I104" s="97" t="s">
        <v>267</v>
      </c>
      <c r="J104" s="162"/>
      <c r="K104" s="98">
        <v>0</v>
      </c>
      <c r="L104" s="99">
        <v>5653.94</v>
      </c>
      <c r="M104" s="163"/>
      <c r="N104" s="164"/>
      <c r="O104" s="341"/>
      <c r="P104" s="164"/>
      <c r="Q104" s="135"/>
      <c r="R104" s="135"/>
      <c r="S104" s="308"/>
    </row>
    <row r="105" spans="1:19" ht="13.5" thickBot="1">
      <c r="A105" s="95" t="s">
        <v>64</v>
      </c>
      <c r="B105" s="96">
        <v>12</v>
      </c>
      <c r="C105" s="96" t="s">
        <v>228</v>
      </c>
      <c r="D105" s="97" t="s">
        <v>264</v>
      </c>
      <c r="E105" s="97" t="s">
        <v>265</v>
      </c>
      <c r="F105" s="97" t="s">
        <v>80</v>
      </c>
      <c r="G105" s="97" t="s">
        <v>268</v>
      </c>
      <c r="H105" s="97" t="s">
        <v>233</v>
      </c>
      <c r="I105" s="97" t="s">
        <v>269</v>
      </c>
      <c r="J105" s="162"/>
      <c r="K105" s="163"/>
      <c r="L105" s="164"/>
      <c r="M105" s="98">
        <v>0</v>
      </c>
      <c r="N105" s="99">
        <v>0</v>
      </c>
      <c r="O105" s="342">
        <v>0</v>
      </c>
      <c r="P105" s="99">
        <v>0</v>
      </c>
      <c r="Q105" s="118">
        <v>0</v>
      </c>
      <c r="R105" s="118">
        <v>0</v>
      </c>
      <c r="S105" s="308"/>
    </row>
    <row r="106" spans="1:19" ht="13.5" thickBot="1">
      <c r="A106" s="95" t="s">
        <v>64</v>
      </c>
      <c r="B106" s="96">
        <v>12</v>
      </c>
      <c r="C106" s="96" t="s">
        <v>228</v>
      </c>
      <c r="D106" s="97" t="s">
        <v>264</v>
      </c>
      <c r="E106" s="97" t="s">
        <v>265</v>
      </c>
      <c r="F106" s="97" t="s">
        <v>83</v>
      </c>
      <c r="G106" s="97" t="s">
        <v>178</v>
      </c>
      <c r="H106" s="97" t="s">
        <v>233</v>
      </c>
      <c r="I106" s="97" t="s">
        <v>270</v>
      </c>
      <c r="J106" s="162"/>
      <c r="K106" s="163"/>
      <c r="L106" s="164"/>
      <c r="M106" s="98">
        <v>0</v>
      </c>
      <c r="N106" s="99">
        <v>2500</v>
      </c>
      <c r="O106" s="341"/>
      <c r="P106" s="164"/>
      <c r="Q106" s="135"/>
      <c r="R106" s="135"/>
      <c r="S106" s="308"/>
    </row>
    <row r="107" spans="1:19" ht="13.5" thickBot="1">
      <c r="A107" s="95" t="s">
        <v>64</v>
      </c>
      <c r="B107" s="96">
        <v>12</v>
      </c>
      <c r="C107" s="96" t="s">
        <v>228</v>
      </c>
      <c r="D107" s="97" t="s">
        <v>264</v>
      </c>
      <c r="E107" s="97" t="s">
        <v>265</v>
      </c>
      <c r="F107" s="97" t="s">
        <v>94</v>
      </c>
      <c r="G107" s="97" t="s">
        <v>271</v>
      </c>
      <c r="H107" s="97" t="s">
        <v>233</v>
      </c>
      <c r="I107" s="97" t="s">
        <v>272</v>
      </c>
      <c r="J107" s="162"/>
      <c r="K107" s="98">
        <v>0</v>
      </c>
      <c r="L107" s="99">
        <v>280.39999999999998</v>
      </c>
      <c r="M107" s="163"/>
      <c r="N107" s="164"/>
      <c r="O107" s="341"/>
      <c r="P107" s="164"/>
      <c r="Q107" s="135"/>
      <c r="R107" s="135"/>
      <c r="S107" s="308"/>
    </row>
    <row r="108" spans="1:19" ht="13.5" thickBot="1">
      <c r="A108" s="95" t="s">
        <v>64</v>
      </c>
      <c r="B108" s="96">
        <v>12</v>
      </c>
      <c r="C108" s="96" t="s">
        <v>228</v>
      </c>
      <c r="D108" s="97" t="s">
        <v>264</v>
      </c>
      <c r="E108" s="97" t="s">
        <v>265</v>
      </c>
      <c r="F108" s="97" t="s">
        <v>94</v>
      </c>
      <c r="G108" s="97" t="s">
        <v>271</v>
      </c>
      <c r="H108" s="97" t="s">
        <v>233</v>
      </c>
      <c r="I108" s="97" t="s">
        <v>269</v>
      </c>
      <c r="J108" s="162"/>
      <c r="K108" s="163"/>
      <c r="L108" s="164"/>
      <c r="M108" s="98">
        <v>0</v>
      </c>
      <c r="N108" s="99">
        <v>782.86</v>
      </c>
      <c r="O108" s="342">
        <v>0</v>
      </c>
      <c r="P108" s="99">
        <v>0</v>
      </c>
      <c r="Q108" s="118">
        <v>0</v>
      </c>
      <c r="R108" s="118">
        <v>0</v>
      </c>
      <c r="S108" s="308"/>
    </row>
    <row r="109" spans="1:19" ht="13.5" thickBot="1">
      <c r="A109" s="95" t="s">
        <v>64</v>
      </c>
      <c r="B109" s="96">
        <v>12</v>
      </c>
      <c r="C109" s="96" t="s">
        <v>228</v>
      </c>
      <c r="D109" s="97" t="s">
        <v>264</v>
      </c>
      <c r="E109" s="97" t="s">
        <v>265</v>
      </c>
      <c r="F109" s="97" t="s">
        <v>94</v>
      </c>
      <c r="G109" s="97" t="s">
        <v>271</v>
      </c>
      <c r="H109" s="97" t="s">
        <v>233</v>
      </c>
      <c r="I109" s="162"/>
      <c r="J109" s="162"/>
      <c r="K109" s="98">
        <v>2500</v>
      </c>
      <c r="L109" s="99">
        <v>0</v>
      </c>
      <c r="M109" s="98">
        <v>7000</v>
      </c>
      <c r="N109" s="99">
        <v>0</v>
      </c>
      <c r="O109" s="342">
        <v>7500</v>
      </c>
      <c r="P109" s="99">
        <v>0</v>
      </c>
      <c r="Q109" s="118">
        <v>5000</v>
      </c>
      <c r="R109" s="118">
        <v>4500</v>
      </c>
      <c r="S109" s="308"/>
    </row>
    <row r="110" spans="1:19" ht="13.5" thickBot="1">
      <c r="A110" s="95" t="s">
        <v>64</v>
      </c>
      <c r="B110" s="96">
        <v>12</v>
      </c>
      <c r="C110" s="96" t="s">
        <v>228</v>
      </c>
      <c r="D110" s="97" t="s">
        <v>264</v>
      </c>
      <c r="E110" s="97" t="s">
        <v>265</v>
      </c>
      <c r="F110" s="97" t="s">
        <v>94</v>
      </c>
      <c r="G110" s="97" t="s">
        <v>271</v>
      </c>
      <c r="H110" s="97" t="s">
        <v>233</v>
      </c>
      <c r="I110" s="97" t="s">
        <v>273</v>
      </c>
      <c r="J110" s="162"/>
      <c r="K110" s="98">
        <v>0</v>
      </c>
      <c r="L110" s="99">
        <v>371.2</v>
      </c>
      <c r="M110" s="163"/>
      <c r="N110" s="164"/>
      <c r="O110" s="341"/>
      <c r="P110" s="164"/>
      <c r="Q110" s="135"/>
      <c r="R110" s="135"/>
      <c r="S110" s="308"/>
    </row>
    <row r="111" spans="1:19" ht="13.5" thickBot="1">
      <c r="A111" s="95" t="s">
        <v>64</v>
      </c>
      <c r="B111" s="96">
        <v>12</v>
      </c>
      <c r="C111" s="96" t="s">
        <v>228</v>
      </c>
      <c r="D111" s="97" t="s">
        <v>264</v>
      </c>
      <c r="E111" s="97" t="s">
        <v>265</v>
      </c>
      <c r="F111" s="97" t="s">
        <v>94</v>
      </c>
      <c r="G111" s="97" t="s">
        <v>271</v>
      </c>
      <c r="H111" s="97" t="s">
        <v>233</v>
      </c>
      <c r="I111" s="97" t="s">
        <v>274</v>
      </c>
      <c r="J111" s="162"/>
      <c r="K111" s="98">
        <v>0</v>
      </c>
      <c r="L111" s="99">
        <v>200</v>
      </c>
      <c r="M111" s="163"/>
      <c r="N111" s="164"/>
      <c r="O111" s="341"/>
      <c r="P111" s="164"/>
      <c r="Q111" s="135"/>
      <c r="R111" s="135"/>
      <c r="S111" s="308"/>
    </row>
    <row r="112" spans="1:19" ht="13.5" thickBot="1">
      <c r="A112" s="95" t="s">
        <v>64</v>
      </c>
      <c r="B112" s="96">
        <v>12</v>
      </c>
      <c r="C112" s="96" t="s">
        <v>228</v>
      </c>
      <c r="D112" s="97" t="s">
        <v>264</v>
      </c>
      <c r="E112" s="97" t="s">
        <v>265</v>
      </c>
      <c r="F112" s="97" t="s">
        <v>94</v>
      </c>
      <c r="G112" s="97" t="s">
        <v>271</v>
      </c>
      <c r="H112" s="97" t="s">
        <v>233</v>
      </c>
      <c r="I112" s="97" t="s">
        <v>270</v>
      </c>
      <c r="J112" s="162"/>
      <c r="K112" s="163"/>
      <c r="L112" s="164"/>
      <c r="M112" s="98">
        <v>0</v>
      </c>
      <c r="N112" s="99">
        <v>50</v>
      </c>
      <c r="O112" s="341"/>
      <c r="P112" s="164"/>
      <c r="Q112" s="135"/>
      <c r="R112" s="135"/>
      <c r="S112" s="308"/>
    </row>
    <row r="113" spans="1:18" ht="13.5" thickBot="1">
      <c r="A113" s="95" t="s">
        <v>64</v>
      </c>
      <c r="B113" s="96">
        <v>12</v>
      </c>
      <c r="C113" s="96" t="s">
        <v>228</v>
      </c>
      <c r="D113" s="97" t="s">
        <v>264</v>
      </c>
      <c r="E113" s="97" t="s">
        <v>265</v>
      </c>
      <c r="F113" s="97" t="s">
        <v>94</v>
      </c>
      <c r="G113" s="97" t="s">
        <v>271</v>
      </c>
      <c r="H113" s="97" t="s">
        <v>233</v>
      </c>
      <c r="I113" s="97" t="s">
        <v>275</v>
      </c>
      <c r="J113" s="162"/>
      <c r="K113" s="98">
        <v>0</v>
      </c>
      <c r="L113" s="99">
        <v>1000</v>
      </c>
      <c r="M113" s="163"/>
      <c r="N113" s="164"/>
      <c r="O113" s="341"/>
      <c r="P113" s="164"/>
      <c r="Q113" s="135"/>
      <c r="R113" s="135"/>
    </row>
    <row r="114" spans="1:18" ht="13.5" thickBot="1">
      <c r="A114" s="95" t="s">
        <v>64</v>
      </c>
      <c r="B114" s="96">
        <v>12</v>
      </c>
      <c r="C114" s="96" t="s">
        <v>228</v>
      </c>
      <c r="D114" s="97" t="s">
        <v>264</v>
      </c>
      <c r="E114" s="97" t="s">
        <v>265</v>
      </c>
      <c r="F114" s="97" t="s">
        <v>94</v>
      </c>
      <c r="G114" s="97" t="s">
        <v>271</v>
      </c>
      <c r="H114" s="97" t="s">
        <v>233</v>
      </c>
      <c r="I114" s="97" t="s">
        <v>276</v>
      </c>
      <c r="J114" s="162"/>
      <c r="K114" s="163"/>
      <c r="L114" s="164"/>
      <c r="M114" s="98">
        <v>0</v>
      </c>
      <c r="N114" s="99">
        <v>104.5</v>
      </c>
      <c r="O114" s="342">
        <v>0</v>
      </c>
      <c r="P114" s="99">
        <v>0</v>
      </c>
      <c r="Q114" s="118">
        <v>0</v>
      </c>
      <c r="R114" s="118">
        <v>0</v>
      </c>
    </row>
    <row r="115" spans="1:18" ht="13.5" thickBot="1">
      <c r="A115" s="95" t="s">
        <v>64</v>
      </c>
      <c r="B115" s="96">
        <v>12</v>
      </c>
      <c r="C115" s="96" t="s">
        <v>228</v>
      </c>
      <c r="D115" s="97" t="s">
        <v>264</v>
      </c>
      <c r="E115" s="97" t="s">
        <v>265</v>
      </c>
      <c r="F115" s="97" t="s">
        <v>94</v>
      </c>
      <c r="G115" s="97" t="s">
        <v>271</v>
      </c>
      <c r="H115" s="97" t="s">
        <v>233</v>
      </c>
      <c r="I115" s="97" t="s">
        <v>277</v>
      </c>
      <c r="J115" s="162"/>
      <c r="K115" s="98">
        <v>0</v>
      </c>
      <c r="L115" s="99">
        <v>190</v>
      </c>
      <c r="M115" s="163"/>
      <c r="N115" s="164"/>
      <c r="O115" s="341"/>
      <c r="P115" s="164"/>
      <c r="Q115" s="135"/>
      <c r="R115" s="135"/>
    </row>
    <row r="116" spans="1:18" ht="13.5" thickBot="1">
      <c r="A116" s="95" t="s">
        <v>64</v>
      </c>
      <c r="B116" s="96">
        <v>12</v>
      </c>
      <c r="C116" s="96" t="s">
        <v>228</v>
      </c>
      <c r="D116" s="97" t="s">
        <v>264</v>
      </c>
      <c r="E116" s="97" t="s">
        <v>265</v>
      </c>
      <c r="F116" s="97" t="s">
        <v>94</v>
      </c>
      <c r="G116" s="97" t="s">
        <v>271</v>
      </c>
      <c r="H116" s="97" t="s">
        <v>233</v>
      </c>
      <c r="I116" s="97" t="s">
        <v>278</v>
      </c>
      <c r="J116" s="162"/>
      <c r="K116" s="98">
        <v>0</v>
      </c>
      <c r="L116" s="99">
        <v>311.89</v>
      </c>
      <c r="M116" s="163"/>
      <c r="N116" s="164"/>
      <c r="O116" s="341"/>
      <c r="P116" s="164"/>
      <c r="Q116" s="135"/>
      <c r="R116" s="135"/>
    </row>
    <row r="117" spans="1:18" ht="13.5" thickBot="1">
      <c r="A117" s="95" t="s">
        <v>64</v>
      </c>
      <c r="B117" s="96">
        <v>12</v>
      </c>
      <c r="C117" s="96" t="s">
        <v>228</v>
      </c>
      <c r="D117" s="97" t="s">
        <v>264</v>
      </c>
      <c r="E117" s="97" t="s">
        <v>265</v>
      </c>
      <c r="F117" s="97" t="s">
        <v>94</v>
      </c>
      <c r="G117" s="97" t="s">
        <v>271</v>
      </c>
      <c r="H117" s="97" t="s">
        <v>233</v>
      </c>
      <c r="I117" s="97" t="s">
        <v>279</v>
      </c>
      <c r="J117" s="162"/>
      <c r="K117" s="163"/>
      <c r="L117" s="164"/>
      <c r="M117" s="98">
        <v>0</v>
      </c>
      <c r="N117" s="99">
        <v>204.9</v>
      </c>
      <c r="O117" s="341"/>
      <c r="P117" s="164"/>
      <c r="Q117" s="135"/>
      <c r="R117" s="135"/>
    </row>
    <row r="118" spans="1:18" ht="13.5" thickBot="1">
      <c r="A118" s="95" t="s">
        <v>64</v>
      </c>
      <c r="B118" s="96">
        <v>12</v>
      </c>
      <c r="C118" s="96" t="s">
        <v>228</v>
      </c>
      <c r="D118" s="97" t="s">
        <v>264</v>
      </c>
      <c r="E118" s="97" t="s">
        <v>265</v>
      </c>
      <c r="F118" s="97" t="s">
        <v>94</v>
      </c>
      <c r="G118" s="97" t="s">
        <v>271</v>
      </c>
      <c r="H118" s="97" t="s">
        <v>233</v>
      </c>
      <c r="I118" s="97" t="s">
        <v>280</v>
      </c>
      <c r="J118" s="162"/>
      <c r="K118" s="163"/>
      <c r="L118" s="164"/>
      <c r="M118" s="98">
        <v>0</v>
      </c>
      <c r="N118" s="99">
        <v>1000</v>
      </c>
      <c r="O118" s="341"/>
      <c r="P118" s="164"/>
      <c r="Q118" s="135"/>
      <c r="R118" s="135"/>
    </row>
    <row r="119" spans="1:18" ht="13.5" thickBot="1">
      <c r="A119" s="95" t="s">
        <v>64</v>
      </c>
      <c r="B119" s="96">
        <v>12</v>
      </c>
      <c r="C119" s="96" t="s">
        <v>228</v>
      </c>
      <c r="D119" s="97" t="s">
        <v>264</v>
      </c>
      <c r="E119" s="97" t="s">
        <v>265</v>
      </c>
      <c r="F119" s="97" t="s">
        <v>106</v>
      </c>
      <c r="G119" s="97" t="s">
        <v>185</v>
      </c>
      <c r="H119" s="97" t="s">
        <v>233</v>
      </c>
      <c r="I119" s="97" t="s">
        <v>281</v>
      </c>
      <c r="J119" s="162"/>
      <c r="K119" s="163"/>
      <c r="L119" s="164"/>
      <c r="M119" s="98">
        <v>0</v>
      </c>
      <c r="N119" s="99">
        <v>981.66</v>
      </c>
      <c r="O119" s="341"/>
      <c r="P119" s="164"/>
      <c r="Q119" s="135"/>
      <c r="R119" s="135"/>
    </row>
    <row r="120" spans="1:18" ht="13.5" thickBot="1">
      <c r="A120" s="95" t="s">
        <v>64</v>
      </c>
      <c r="B120" s="96">
        <v>12</v>
      </c>
      <c r="C120" s="96" t="s">
        <v>228</v>
      </c>
      <c r="D120" s="97" t="s">
        <v>264</v>
      </c>
      <c r="E120" s="97" t="s">
        <v>265</v>
      </c>
      <c r="F120" s="97" t="s">
        <v>111</v>
      </c>
      <c r="G120" s="97" t="s">
        <v>238</v>
      </c>
      <c r="H120" s="97" t="s">
        <v>239</v>
      </c>
      <c r="I120" s="97" t="s">
        <v>267</v>
      </c>
      <c r="J120" s="162"/>
      <c r="K120" s="98">
        <v>0</v>
      </c>
      <c r="L120" s="99">
        <v>3760</v>
      </c>
      <c r="M120" s="163"/>
      <c r="N120" s="164"/>
      <c r="O120" s="341"/>
      <c r="P120" s="164"/>
      <c r="Q120" s="135"/>
      <c r="R120" s="135"/>
    </row>
    <row r="121" spans="1:18" ht="13.5" thickBot="1">
      <c r="A121" s="95" t="s">
        <v>64</v>
      </c>
      <c r="B121" s="96">
        <v>12</v>
      </c>
      <c r="C121" s="96" t="s">
        <v>228</v>
      </c>
      <c r="D121" s="97" t="s">
        <v>264</v>
      </c>
      <c r="E121" s="97" t="s">
        <v>265</v>
      </c>
      <c r="F121" s="97" t="s">
        <v>111</v>
      </c>
      <c r="G121" s="97" t="s">
        <v>238</v>
      </c>
      <c r="H121" s="97" t="s">
        <v>239</v>
      </c>
      <c r="I121" s="97" t="s">
        <v>240</v>
      </c>
      <c r="J121" s="97" t="s">
        <v>241</v>
      </c>
      <c r="K121" s="98">
        <v>0</v>
      </c>
      <c r="L121" s="99">
        <v>22606.67</v>
      </c>
      <c r="M121" s="163"/>
      <c r="N121" s="164"/>
      <c r="O121" s="341"/>
      <c r="P121" s="164"/>
      <c r="Q121" s="135"/>
      <c r="R121" s="135"/>
    </row>
    <row r="122" spans="1:18" ht="13.5" thickBot="1">
      <c r="A122" s="95" t="s">
        <v>64</v>
      </c>
      <c r="B122" s="96">
        <v>12</v>
      </c>
      <c r="C122" s="96" t="s">
        <v>228</v>
      </c>
      <c r="D122" s="97" t="s">
        <v>264</v>
      </c>
      <c r="E122" s="97" t="s">
        <v>265</v>
      </c>
      <c r="F122" s="97" t="s">
        <v>111</v>
      </c>
      <c r="G122" s="97" t="s">
        <v>238</v>
      </c>
      <c r="H122" s="97" t="s">
        <v>233</v>
      </c>
      <c r="I122" s="97" t="s">
        <v>282</v>
      </c>
      <c r="J122" s="97" t="s">
        <v>203</v>
      </c>
      <c r="K122" s="163"/>
      <c r="L122" s="164"/>
      <c r="M122" s="163"/>
      <c r="N122" s="164"/>
      <c r="O122" s="342">
        <v>0</v>
      </c>
      <c r="P122" s="99">
        <v>0</v>
      </c>
      <c r="Q122" s="118">
        <v>0</v>
      </c>
      <c r="R122" s="118">
        <v>0</v>
      </c>
    </row>
    <row r="123" spans="1:18" ht="13.5" thickBot="1">
      <c r="A123" s="95" t="s">
        <v>64</v>
      </c>
      <c r="B123" s="96">
        <v>12</v>
      </c>
      <c r="C123" s="96" t="s">
        <v>228</v>
      </c>
      <c r="D123" s="97" t="s">
        <v>264</v>
      </c>
      <c r="E123" s="97" t="s">
        <v>265</v>
      </c>
      <c r="F123" s="97" t="s">
        <v>112</v>
      </c>
      <c r="G123" s="97" t="s">
        <v>283</v>
      </c>
      <c r="H123" s="97" t="s">
        <v>233</v>
      </c>
      <c r="I123" s="97" t="s">
        <v>269</v>
      </c>
      <c r="J123" s="162"/>
      <c r="K123" s="163"/>
      <c r="L123" s="164"/>
      <c r="M123" s="98">
        <v>0</v>
      </c>
      <c r="N123" s="99">
        <v>1014.04</v>
      </c>
      <c r="O123" s="341"/>
      <c r="P123" s="164"/>
      <c r="Q123" s="135"/>
      <c r="R123" s="135"/>
    </row>
    <row r="124" spans="1:18" ht="13.5" thickBot="1">
      <c r="A124" s="95" t="s">
        <v>64</v>
      </c>
      <c r="B124" s="96">
        <v>12</v>
      </c>
      <c r="C124" s="96" t="s">
        <v>228</v>
      </c>
      <c r="D124" s="97" t="s">
        <v>264</v>
      </c>
      <c r="E124" s="97" t="s">
        <v>265</v>
      </c>
      <c r="F124" s="97" t="s">
        <v>115</v>
      </c>
      <c r="G124" s="97" t="s">
        <v>284</v>
      </c>
      <c r="H124" s="97" t="s">
        <v>233</v>
      </c>
      <c r="I124" s="97" t="s">
        <v>269</v>
      </c>
      <c r="J124" s="162"/>
      <c r="K124" s="163"/>
      <c r="L124" s="164"/>
      <c r="M124" s="98">
        <v>0</v>
      </c>
      <c r="N124" s="99">
        <v>1320.54</v>
      </c>
      <c r="O124" s="341"/>
      <c r="P124" s="164"/>
      <c r="Q124" s="135"/>
      <c r="R124" s="135"/>
    </row>
    <row r="125" spans="1:18" ht="13.5" thickBot="1">
      <c r="A125" s="95" t="s">
        <v>64</v>
      </c>
      <c r="B125" s="96">
        <v>12</v>
      </c>
      <c r="C125" s="96" t="s">
        <v>228</v>
      </c>
      <c r="D125" s="97" t="s">
        <v>264</v>
      </c>
      <c r="E125" s="97" t="s">
        <v>265</v>
      </c>
      <c r="F125" s="97" t="s">
        <v>142</v>
      </c>
      <c r="G125" s="97" t="s">
        <v>187</v>
      </c>
      <c r="H125" s="97" t="s">
        <v>233</v>
      </c>
      <c r="I125" s="97" t="s">
        <v>281</v>
      </c>
      <c r="J125" s="162"/>
      <c r="K125" s="163"/>
      <c r="L125" s="164"/>
      <c r="M125" s="98">
        <v>0</v>
      </c>
      <c r="N125" s="99">
        <v>4193.04</v>
      </c>
      <c r="O125" s="341"/>
      <c r="P125" s="164"/>
      <c r="Q125" s="135"/>
      <c r="R125" s="135"/>
    </row>
    <row r="126" spans="1:18" ht="13.5" thickBot="1">
      <c r="A126" s="95" t="s">
        <v>64</v>
      </c>
      <c r="B126" s="96">
        <v>12</v>
      </c>
      <c r="C126" s="96" t="s">
        <v>228</v>
      </c>
      <c r="D126" s="97" t="s">
        <v>264</v>
      </c>
      <c r="E126" s="97" t="s">
        <v>265</v>
      </c>
      <c r="F126" s="97" t="s">
        <v>147</v>
      </c>
      <c r="G126" s="97" t="s">
        <v>256</v>
      </c>
      <c r="H126" s="97" t="s">
        <v>233</v>
      </c>
      <c r="I126" s="97" t="s">
        <v>269</v>
      </c>
      <c r="J126" s="162"/>
      <c r="K126" s="163"/>
      <c r="L126" s="164"/>
      <c r="M126" s="98">
        <v>0</v>
      </c>
      <c r="N126" s="99">
        <v>5370.31</v>
      </c>
      <c r="O126" s="341"/>
      <c r="P126" s="164"/>
      <c r="Q126" s="135"/>
      <c r="R126" s="135"/>
    </row>
    <row r="127" spans="1:18" ht="13.5" thickBot="1">
      <c r="A127" s="95" t="s">
        <v>64</v>
      </c>
      <c r="B127" s="96">
        <v>12</v>
      </c>
      <c r="C127" s="96" t="s">
        <v>228</v>
      </c>
      <c r="D127" s="97" t="s">
        <v>264</v>
      </c>
      <c r="E127" s="97" t="s">
        <v>265</v>
      </c>
      <c r="F127" s="97" t="s">
        <v>147</v>
      </c>
      <c r="G127" s="97" t="s">
        <v>256</v>
      </c>
      <c r="H127" s="97" t="s">
        <v>233</v>
      </c>
      <c r="I127" s="97" t="s">
        <v>285</v>
      </c>
      <c r="J127" s="162"/>
      <c r="K127" s="163"/>
      <c r="L127" s="164"/>
      <c r="M127" s="98">
        <v>0</v>
      </c>
      <c r="N127" s="99">
        <v>5198.3900000000003</v>
      </c>
      <c r="O127" s="341"/>
      <c r="P127" s="164"/>
      <c r="Q127" s="135"/>
      <c r="R127" s="135"/>
    </row>
    <row r="128" spans="1:18" ht="13.5" thickBot="1">
      <c r="A128" s="95" t="s">
        <v>64</v>
      </c>
      <c r="B128" s="96">
        <v>12</v>
      </c>
      <c r="C128" s="96" t="s">
        <v>228</v>
      </c>
      <c r="D128" s="97" t="s">
        <v>264</v>
      </c>
      <c r="E128" s="97" t="s">
        <v>265</v>
      </c>
      <c r="F128" s="97" t="s">
        <v>148</v>
      </c>
      <c r="G128" s="97" t="s">
        <v>256</v>
      </c>
      <c r="H128" s="97" t="s">
        <v>233</v>
      </c>
      <c r="I128" s="97" t="s">
        <v>286</v>
      </c>
      <c r="J128" s="162"/>
      <c r="K128" s="98">
        <v>0</v>
      </c>
      <c r="L128" s="99">
        <v>5442.94</v>
      </c>
      <c r="M128" s="163"/>
      <c r="N128" s="164"/>
      <c r="O128" s="341"/>
      <c r="P128" s="164"/>
      <c r="Q128" s="135"/>
      <c r="R128" s="135"/>
    </row>
    <row r="129" spans="1:20" ht="13.5" thickBot="1">
      <c r="A129" s="95" t="s">
        <v>64</v>
      </c>
      <c r="B129" s="96">
        <v>12</v>
      </c>
      <c r="C129" s="96" t="s">
        <v>228</v>
      </c>
      <c r="D129" s="97" t="s">
        <v>264</v>
      </c>
      <c r="E129" s="97" t="s">
        <v>265</v>
      </c>
      <c r="F129" s="97" t="s">
        <v>148</v>
      </c>
      <c r="G129" s="97" t="s">
        <v>256</v>
      </c>
      <c r="H129" s="97" t="s">
        <v>287</v>
      </c>
      <c r="I129" s="97" t="s">
        <v>276</v>
      </c>
      <c r="J129" s="162"/>
      <c r="K129" s="163"/>
      <c r="L129" s="164"/>
      <c r="M129" s="98">
        <v>0</v>
      </c>
      <c r="N129" s="99">
        <v>17968.63</v>
      </c>
      <c r="O129" s="341"/>
      <c r="P129" s="164"/>
      <c r="Q129" s="135"/>
      <c r="R129" s="135"/>
      <c r="S129" s="308"/>
      <c r="T129" s="308"/>
    </row>
    <row r="130" spans="1:20" ht="13.5" thickBot="1">
      <c r="A130" s="95" t="s">
        <v>64</v>
      </c>
      <c r="B130" s="96">
        <v>12</v>
      </c>
      <c r="C130" s="96" t="s">
        <v>228</v>
      </c>
      <c r="D130" s="97" t="s">
        <v>288</v>
      </c>
      <c r="E130" s="97" t="s">
        <v>289</v>
      </c>
      <c r="F130" s="97" t="s">
        <v>72</v>
      </c>
      <c r="G130" s="97" t="s">
        <v>290</v>
      </c>
      <c r="H130" s="97" t="s">
        <v>233</v>
      </c>
      <c r="I130" s="162"/>
      <c r="J130" s="162"/>
      <c r="K130" s="163"/>
      <c r="L130" s="164"/>
      <c r="M130" s="163"/>
      <c r="N130" s="164"/>
      <c r="O130" s="342">
        <v>0</v>
      </c>
      <c r="P130" s="99">
        <v>5775.58</v>
      </c>
      <c r="Q130" s="118">
        <v>4500</v>
      </c>
      <c r="R130" s="118">
        <v>4500</v>
      </c>
      <c r="S130" s="308"/>
      <c r="T130" s="308"/>
    </row>
    <row r="131" spans="1:20" ht="13.5" thickBot="1">
      <c r="A131" s="95" t="s">
        <v>64</v>
      </c>
      <c r="B131" s="96">
        <v>12</v>
      </c>
      <c r="C131" s="96" t="s">
        <v>228</v>
      </c>
      <c r="D131" s="97" t="s">
        <v>288</v>
      </c>
      <c r="E131" s="97" t="s">
        <v>289</v>
      </c>
      <c r="F131" s="97" t="s">
        <v>74</v>
      </c>
      <c r="G131" s="97" t="s">
        <v>234</v>
      </c>
      <c r="H131" s="97" t="s">
        <v>233</v>
      </c>
      <c r="I131" s="162"/>
      <c r="J131" s="162"/>
      <c r="K131" s="163"/>
      <c r="L131" s="164"/>
      <c r="M131" s="98">
        <v>0</v>
      </c>
      <c r="N131" s="99">
        <v>32282.6</v>
      </c>
      <c r="O131" s="342">
        <v>0</v>
      </c>
      <c r="P131" s="99">
        <v>14176.69</v>
      </c>
      <c r="Q131" s="118">
        <v>14000</v>
      </c>
      <c r="R131" s="118">
        <v>14000</v>
      </c>
      <c r="S131" s="308"/>
      <c r="T131" s="308"/>
    </row>
    <row r="132" spans="1:20" ht="13.5" thickBot="1">
      <c r="A132" s="95" t="s">
        <v>64</v>
      </c>
      <c r="B132" s="96">
        <v>12</v>
      </c>
      <c r="C132" s="96" t="s">
        <v>228</v>
      </c>
      <c r="D132" s="97" t="s">
        <v>288</v>
      </c>
      <c r="E132" s="97" t="s">
        <v>289</v>
      </c>
      <c r="F132" s="97" t="s">
        <v>138</v>
      </c>
      <c r="G132" s="97" t="s">
        <v>291</v>
      </c>
      <c r="H132" s="97" t="s">
        <v>211</v>
      </c>
      <c r="I132" s="162"/>
      <c r="J132" s="162"/>
      <c r="K132" s="98">
        <v>0</v>
      </c>
      <c r="L132" s="99">
        <v>-77442.429999999993</v>
      </c>
      <c r="M132" s="163"/>
      <c r="N132" s="164"/>
      <c r="O132" s="341"/>
      <c r="P132" s="164"/>
      <c r="Q132" s="135"/>
      <c r="R132" s="135"/>
      <c r="S132" s="308"/>
      <c r="T132" s="308"/>
    </row>
    <row r="133" spans="1:20" ht="13.5" thickBot="1">
      <c r="A133" s="95" t="s">
        <v>64</v>
      </c>
      <c r="B133" s="96">
        <v>12</v>
      </c>
      <c r="C133" s="96" t="s">
        <v>228</v>
      </c>
      <c r="D133" s="97" t="s">
        <v>292</v>
      </c>
      <c r="E133" s="97" t="s">
        <v>293</v>
      </c>
      <c r="F133" s="97" t="s">
        <v>71</v>
      </c>
      <c r="G133" s="97" t="s">
        <v>232</v>
      </c>
      <c r="H133" s="97" t="s">
        <v>233</v>
      </c>
      <c r="I133" s="97" t="s">
        <v>194</v>
      </c>
      <c r="J133" s="162"/>
      <c r="K133" s="163"/>
      <c r="L133" s="164"/>
      <c r="M133" s="98">
        <v>5500</v>
      </c>
      <c r="N133" s="99">
        <v>0</v>
      </c>
      <c r="O133" s="342">
        <v>6000</v>
      </c>
      <c r="P133" s="99">
        <v>0</v>
      </c>
      <c r="Q133" s="118">
        <v>3000</v>
      </c>
      <c r="R133" s="118">
        <v>3000</v>
      </c>
      <c r="S133" s="308"/>
      <c r="T133" s="308"/>
    </row>
    <row r="134" spans="1:20" ht="13.5" thickBot="1">
      <c r="A134" s="95" t="s">
        <v>64</v>
      </c>
      <c r="B134" s="96">
        <v>12</v>
      </c>
      <c r="C134" s="96" t="s">
        <v>228</v>
      </c>
      <c r="D134" s="97" t="s">
        <v>292</v>
      </c>
      <c r="E134" s="97" t="s">
        <v>293</v>
      </c>
      <c r="F134" s="97" t="s">
        <v>71</v>
      </c>
      <c r="G134" s="97" t="s">
        <v>232</v>
      </c>
      <c r="H134" s="97" t="s">
        <v>233</v>
      </c>
      <c r="I134" s="97" t="s">
        <v>294</v>
      </c>
      <c r="J134" s="162"/>
      <c r="K134" s="98">
        <v>0</v>
      </c>
      <c r="L134" s="99">
        <v>1809.5</v>
      </c>
      <c r="M134" s="98">
        <v>0</v>
      </c>
      <c r="N134" s="99">
        <v>4257.5</v>
      </c>
      <c r="O134" s="341"/>
      <c r="P134" s="164"/>
      <c r="Q134" s="135"/>
      <c r="R134" s="135"/>
      <c r="S134" s="308"/>
      <c r="T134" s="308"/>
    </row>
    <row r="135" spans="1:20" ht="13.5" thickBot="1">
      <c r="A135" s="95" t="s">
        <v>64</v>
      </c>
      <c r="B135" s="96">
        <v>12</v>
      </c>
      <c r="C135" s="96" t="s">
        <v>228</v>
      </c>
      <c r="D135" s="97" t="s">
        <v>292</v>
      </c>
      <c r="E135" s="97" t="s">
        <v>293</v>
      </c>
      <c r="F135" s="97" t="s">
        <v>72</v>
      </c>
      <c r="G135" s="97" t="s">
        <v>290</v>
      </c>
      <c r="H135" s="97" t="s">
        <v>233</v>
      </c>
      <c r="I135" s="162"/>
      <c r="J135" s="162"/>
      <c r="K135" s="98">
        <v>0</v>
      </c>
      <c r="L135" s="99">
        <v>1734.3</v>
      </c>
      <c r="M135" s="98">
        <v>0</v>
      </c>
      <c r="N135" s="99">
        <v>1580.77</v>
      </c>
      <c r="O135" s="342">
        <v>0</v>
      </c>
      <c r="P135" s="99">
        <v>128.1</v>
      </c>
      <c r="Q135" s="118">
        <v>0</v>
      </c>
      <c r="R135" s="118">
        <v>0</v>
      </c>
      <c r="S135" s="308"/>
      <c r="T135" s="308"/>
    </row>
    <row r="136" spans="1:20" ht="13.5" thickBot="1">
      <c r="A136" s="95" t="s">
        <v>64</v>
      </c>
      <c r="B136" s="96">
        <v>12</v>
      </c>
      <c r="C136" s="96" t="s">
        <v>228</v>
      </c>
      <c r="D136" s="97" t="s">
        <v>292</v>
      </c>
      <c r="E136" s="97" t="s">
        <v>293</v>
      </c>
      <c r="F136" s="97" t="s">
        <v>74</v>
      </c>
      <c r="G136" s="97" t="s">
        <v>234</v>
      </c>
      <c r="H136" s="97" t="s">
        <v>233</v>
      </c>
      <c r="I136" s="162"/>
      <c r="J136" s="162"/>
      <c r="K136" s="163"/>
      <c r="L136" s="164"/>
      <c r="M136" s="98">
        <v>0</v>
      </c>
      <c r="N136" s="99">
        <v>21676.27</v>
      </c>
      <c r="O136" s="341"/>
      <c r="P136" s="164"/>
      <c r="Q136" s="135"/>
      <c r="R136" s="135"/>
      <c r="S136" s="308"/>
      <c r="T136" s="308"/>
    </row>
    <row r="137" spans="1:20" ht="13.5" thickBot="1">
      <c r="A137" s="95" t="s">
        <v>64</v>
      </c>
      <c r="B137" s="96">
        <v>12</v>
      </c>
      <c r="C137" s="96" t="s">
        <v>228</v>
      </c>
      <c r="D137" s="97" t="s">
        <v>292</v>
      </c>
      <c r="E137" s="97" t="s">
        <v>293</v>
      </c>
      <c r="F137" s="97" t="s">
        <v>78</v>
      </c>
      <c r="G137" s="97" t="s">
        <v>176</v>
      </c>
      <c r="H137" s="97" t="s">
        <v>233</v>
      </c>
      <c r="I137" s="162"/>
      <c r="J137" s="162"/>
      <c r="K137" s="98">
        <v>3000</v>
      </c>
      <c r="L137" s="99">
        <v>1229.52</v>
      </c>
      <c r="M137" s="98">
        <v>3000</v>
      </c>
      <c r="N137" s="99">
        <v>465.62</v>
      </c>
      <c r="O137" s="342">
        <v>3000</v>
      </c>
      <c r="P137" s="99">
        <v>0</v>
      </c>
      <c r="Q137" s="118">
        <v>1000</v>
      </c>
      <c r="R137" s="118">
        <v>1000</v>
      </c>
      <c r="S137" s="308"/>
      <c r="T137" s="308"/>
    </row>
    <row r="138" spans="1:20" ht="13.5" thickBot="1">
      <c r="A138" s="95" t="s">
        <v>64</v>
      </c>
      <c r="B138" s="96">
        <v>12</v>
      </c>
      <c r="C138" s="96" t="s">
        <v>228</v>
      </c>
      <c r="D138" s="97" t="s">
        <v>292</v>
      </c>
      <c r="E138" s="97" t="s">
        <v>293</v>
      </c>
      <c r="F138" s="97" t="s">
        <v>79</v>
      </c>
      <c r="G138" s="97" t="s">
        <v>266</v>
      </c>
      <c r="H138" s="97" t="s">
        <v>233</v>
      </c>
      <c r="I138" s="162"/>
      <c r="J138" s="162"/>
      <c r="K138" s="98">
        <v>300</v>
      </c>
      <c r="L138" s="99">
        <v>0</v>
      </c>
      <c r="M138" s="163"/>
      <c r="N138" s="164"/>
      <c r="O138" s="341"/>
      <c r="P138" s="164"/>
      <c r="Q138" s="135"/>
      <c r="R138" s="135"/>
      <c r="S138" s="308"/>
      <c r="T138" s="308"/>
    </row>
    <row r="139" spans="1:20" ht="13.5" thickBot="1">
      <c r="A139" s="95" t="s">
        <v>64</v>
      </c>
      <c r="B139" s="96">
        <v>12</v>
      </c>
      <c r="C139" s="96" t="s">
        <v>228</v>
      </c>
      <c r="D139" s="97" t="s">
        <v>292</v>
      </c>
      <c r="E139" s="97" t="s">
        <v>293</v>
      </c>
      <c r="F139" s="97" t="s">
        <v>83</v>
      </c>
      <c r="G139" s="97" t="s">
        <v>178</v>
      </c>
      <c r="H139" s="97" t="s">
        <v>233</v>
      </c>
      <c r="I139" s="162"/>
      <c r="J139" s="162"/>
      <c r="K139" s="98">
        <v>2500</v>
      </c>
      <c r="L139" s="99">
        <v>0</v>
      </c>
      <c r="M139" s="163"/>
      <c r="N139" s="164"/>
      <c r="O139" s="341"/>
      <c r="P139" s="164"/>
      <c r="Q139" s="135"/>
      <c r="R139" s="135"/>
      <c r="S139" s="308"/>
      <c r="T139" s="308"/>
    </row>
    <row r="140" spans="1:20" ht="13.5" thickBot="1">
      <c r="A140" s="95" t="s">
        <v>64</v>
      </c>
      <c r="B140" s="96">
        <v>12</v>
      </c>
      <c r="C140" s="96" t="s">
        <v>228</v>
      </c>
      <c r="D140" s="97" t="s">
        <v>292</v>
      </c>
      <c r="E140" s="97" t="s">
        <v>293</v>
      </c>
      <c r="F140" s="97" t="s">
        <v>86</v>
      </c>
      <c r="G140" s="97" t="s">
        <v>179</v>
      </c>
      <c r="H140" s="97" t="s">
        <v>233</v>
      </c>
      <c r="I140" s="162"/>
      <c r="J140" s="162"/>
      <c r="K140" s="98">
        <v>750</v>
      </c>
      <c r="L140" s="99">
        <v>0</v>
      </c>
      <c r="M140" s="98">
        <v>0</v>
      </c>
      <c r="N140" s="99">
        <v>172.5</v>
      </c>
      <c r="O140" s="341"/>
      <c r="P140" s="164"/>
      <c r="Q140" s="135"/>
      <c r="R140" s="135"/>
      <c r="S140" s="308"/>
      <c r="T140" s="308"/>
    </row>
    <row r="141" spans="1:20" ht="13.5" thickBot="1">
      <c r="A141" s="95" t="s">
        <v>64</v>
      </c>
      <c r="B141" s="96">
        <v>12</v>
      </c>
      <c r="C141" s="96" t="s">
        <v>228</v>
      </c>
      <c r="D141" s="97" t="s">
        <v>292</v>
      </c>
      <c r="E141" s="97" t="s">
        <v>293</v>
      </c>
      <c r="F141" s="97" t="s">
        <v>116</v>
      </c>
      <c r="G141" s="97" t="s">
        <v>243</v>
      </c>
      <c r="H141" s="97" t="s">
        <v>233</v>
      </c>
      <c r="I141" s="162"/>
      <c r="J141" s="162"/>
      <c r="K141" s="98">
        <v>0</v>
      </c>
      <c r="L141" s="99">
        <v>96</v>
      </c>
      <c r="M141" s="98">
        <v>0</v>
      </c>
      <c r="N141" s="99">
        <v>120</v>
      </c>
      <c r="O141" s="342">
        <v>100</v>
      </c>
      <c r="P141" s="99">
        <v>0</v>
      </c>
      <c r="Q141" s="118">
        <v>0</v>
      </c>
      <c r="R141" s="118">
        <v>0</v>
      </c>
      <c r="S141" s="308"/>
      <c r="T141" s="308"/>
    </row>
    <row r="142" spans="1:20" ht="13.5" thickBot="1">
      <c r="A142" s="95" t="s">
        <v>64</v>
      </c>
      <c r="B142" s="96">
        <v>12</v>
      </c>
      <c r="C142" s="96" t="s">
        <v>228</v>
      </c>
      <c r="D142" s="97" t="s">
        <v>292</v>
      </c>
      <c r="E142" s="97" t="s">
        <v>293</v>
      </c>
      <c r="F142" s="97" t="s">
        <v>125</v>
      </c>
      <c r="G142" s="97" t="s">
        <v>214</v>
      </c>
      <c r="H142" s="97" t="s">
        <v>233</v>
      </c>
      <c r="I142" s="162"/>
      <c r="J142" s="162"/>
      <c r="K142" s="98">
        <v>200</v>
      </c>
      <c r="L142" s="99">
        <v>310.61</v>
      </c>
      <c r="M142" s="98">
        <v>200</v>
      </c>
      <c r="N142" s="99">
        <v>0</v>
      </c>
      <c r="O142" s="342">
        <v>200</v>
      </c>
      <c r="P142" s="99">
        <v>0</v>
      </c>
      <c r="Q142" s="118">
        <v>0</v>
      </c>
      <c r="R142" s="118">
        <v>0</v>
      </c>
      <c r="S142" s="308"/>
      <c r="T142" s="308"/>
    </row>
    <row r="143" spans="1:20" ht="13.5" thickBot="1">
      <c r="A143" s="95" t="s">
        <v>64</v>
      </c>
      <c r="B143" s="96">
        <v>12</v>
      </c>
      <c r="C143" s="96" t="s">
        <v>228</v>
      </c>
      <c r="D143" s="97" t="s">
        <v>292</v>
      </c>
      <c r="E143" s="97" t="s">
        <v>293</v>
      </c>
      <c r="F143" s="97" t="s">
        <v>126</v>
      </c>
      <c r="G143" s="97" t="s">
        <v>246</v>
      </c>
      <c r="H143" s="97" t="s">
        <v>233</v>
      </c>
      <c r="I143" s="162"/>
      <c r="J143" s="162"/>
      <c r="K143" s="163"/>
      <c r="L143" s="164"/>
      <c r="M143" s="98">
        <v>0</v>
      </c>
      <c r="N143" s="99">
        <v>30</v>
      </c>
      <c r="O143" s="341"/>
      <c r="P143" s="164"/>
      <c r="Q143" s="135"/>
      <c r="R143" s="135"/>
      <c r="S143" s="308"/>
      <c r="T143" s="308"/>
    </row>
    <row r="144" spans="1:20" ht="13.5" thickBot="1">
      <c r="A144" s="95" t="s">
        <v>64</v>
      </c>
      <c r="B144" s="96">
        <v>12</v>
      </c>
      <c r="C144" s="96" t="s">
        <v>228</v>
      </c>
      <c r="D144" s="97" t="s">
        <v>292</v>
      </c>
      <c r="E144" s="97" t="s">
        <v>293</v>
      </c>
      <c r="F144" s="97" t="s">
        <v>136</v>
      </c>
      <c r="G144" s="97" t="s">
        <v>254</v>
      </c>
      <c r="H144" s="97" t="s">
        <v>233</v>
      </c>
      <c r="I144" s="162"/>
      <c r="J144" s="162"/>
      <c r="K144" s="98">
        <v>8500</v>
      </c>
      <c r="L144" s="99">
        <v>12078.21</v>
      </c>
      <c r="M144" s="98">
        <v>10000</v>
      </c>
      <c r="N144" s="99">
        <v>7630.01</v>
      </c>
      <c r="O144" s="342">
        <v>10000</v>
      </c>
      <c r="P144" s="99">
        <v>360</v>
      </c>
      <c r="Q144" s="118">
        <v>10000</v>
      </c>
      <c r="R144" s="118">
        <v>10000</v>
      </c>
      <c r="S144" s="308"/>
      <c r="T144" s="308" t="s">
        <v>295</v>
      </c>
    </row>
    <row r="145" spans="1:18" ht="13.5" thickBot="1">
      <c r="A145" s="95" t="s">
        <v>64</v>
      </c>
      <c r="B145" s="96">
        <v>12</v>
      </c>
      <c r="C145" s="96" t="s">
        <v>228</v>
      </c>
      <c r="D145" s="97" t="s">
        <v>296</v>
      </c>
      <c r="E145" s="97" t="s">
        <v>297</v>
      </c>
      <c r="F145" s="97" t="s">
        <v>72</v>
      </c>
      <c r="G145" s="97" t="s">
        <v>290</v>
      </c>
      <c r="H145" s="97" t="s">
        <v>233</v>
      </c>
      <c r="I145" s="162"/>
      <c r="J145" s="162"/>
      <c r="K145" s="163"/>
      <c r="L145" s="164"/>
      <c r="M145" s="163"/>
      <c r="N145" s="164"/>
      <c r="O145" s="342">
        <v>0</v>
      </c>
      <c r="P145" s="99">
        <v>561.35</v>
      </c>
      <c r="Q145" s="118">
        <v>0</v>
      </c>
      <c r="R145" s="118">
        <v>0</v>
      </c>
    </row>
    <row r="146" spans="1:18" ht="13.5" thickBot="1">
      <c r="A146" s="95" t="s">
        <v>64</v>
      </c>
      <c r="B146" s="96">
        <v>12</v>
      </c>
      <c r="C146" s="96" t="s">
        <v>228</v>
      </c>
      <c r="D146" s="97" t="s">
        <v>296</v>
      </c>
      <c r="E146" s="97" t="s">
        <v>297</v>
      </c>
      <c r="F146" s="97" t="s">
        <v>78</v>
      </c>
      <c r="G146" s="97" t="s">
        <v>176</v>
      </c>
      <c r="H146" s="97" t="s">
        <v>233</v>
      </c>
      <c r="I146" s="162"/>
      <c r="J146" s="162"/>
      <c r="K146" s="98">
        <v>2000</v>
      </c>
      <c r="L146" s="99">
        <v>1371.35</v>
      </c>
      <c r="M146" s="98">
        <v>2000</v>
      </c>
      <c r="N146" s="99">
        <v>1996.93</v>
      </c>
      <c r="O146" s="342">
        <v>2000</v>
      </c>
      <c r="P146" s="99">
        <v>32.409999999999997</v>
      </c>
      <c r="Q146" s="118">
        <v>1500</v>
      </c>
      <c r="R146" s="118">
        <v>1300</v>
      </c>
    </row>
    <row r="147" spans="1:18" ht="13.5" thickBot="1">
      <c r="A147" s="95" t="s">
        <v>64</v>
      </c>
      <c r="B147" s="96">
        <v>12</v>
      </c>
      <c r="C147" s="96" t="s">
        <v>228</v>
      </c>
      <c r="D147" s="97" t="s">
        <v>296</v>
      </c>
      <c r="E147" s="97" t="s">
        <v>297</v>
      </c>
      <c r="F147" s="97" t="s">
        <v>86</v>
      </c>
      <c r="G147" s="97" t="s">
        <v>179</v>
      </c>
      <c r="H147" s="97" t="s">
        <v>233</v>
      </c>
      <c r="I147" s="162"/>
      <c r="J147" s="162"/>
      <c r="K147" s="98">
        <v>1000</v>
      </c>
      <c r="L147" s="99">
        <v>0</v>
      </c>
      <c r="M147" s="98">
        <v>1000</v>
      </c>
      <c r="N147" s="99">
        <v>0</v>
      </c>
      <c r="O147" s="342">
        <v>1000</v>
      </c>
      <c r="P147" s="99">
        <v>0</v>
      </c>
      <c r="Q147" s="118">
        <v>0</v>
      </c>
      <c r="R147" s="118">
        <v>0</v>
      </c>
    </row>
    <row r="148" spans="1:18" ht="13.5" thickBot="1">
      <c r="A148" s="95" t="s">
        <v>64</v>
      </c>
      <c r="B148" s="96">
        <v>12</v>
      </c>
      <c r="C148" s="96" t="s">
        <v>228</v>
      </c>
      <c r="D148" s="97" t="s">
        <v>296</v>
      </c>
      <c r="E148" s="97" t="s">
        <v>297</v>
      </c>
      <c r="F148" s="97" t="s">
        <v>136</v>
      </c>
      <c r="G148" s="97" t="s">
        <v>254</v>
      </c>
      <c r="H148" s="97" t="s">
        <v>233</v>
      </c>
      <c r="I148" s="162"/>
      <c r="J148" s="162"/>
      <c r="K148" s="98">
        <v>4500</v>
      </c>
      <c r="L148" s="99">
        <v>4938.05</v>
      </c>
      <c r="M148" s="98">
        <v>4900</v>
      </c>
      <c r="N148" s="99">
        <v>5165.3500000000004</v>
      </c>
      <c r="O148" s="342">
        <v>4900</v>
      </c>
      <c r="P148" s="99">
        <v>198.77</v>
      </c>
      <c r="Q148" s="118">
        <v>3900</v>
      </c>
      <c r="R148" s="118">
        <v>3900</v>
      </c>
    </row>
    <row r="149" spans="1:18" ht="13.5" thickBot="1">
      <c r="A149" s="95" t="s">
        <v>64</v>
      </c>
      <c r="B149" s="96">
        <v>12</v>
      </c>
      <c r="C149" s="96" t="s">
        <v>228</v>
      </c>
      <c r="D149" s="97" t="s">
        <v>298</v>
      </c>
      <c r="E149" s="97" t="s">
        <v>299</v>
      </c>
      <c r="F149" s="97" t="s">
        <v>74</v>
      </c>
      <c r="G149" s="97" t="s">
        <v>234</v>
      </c>
      <c r="H149" s="97" t="s">
        <v>233</v>
      </c>
      <c r="I149" s="162"/>
      <c r="J149" s="162"/>
      <c r="K149" s="163"/>
      <c r="L149" s="164"/>
      <c r="M149" s="163"/>
      <c r="N149" s="164"/>
      <c r="O149" s="342">
        <v>0</v>
      </c>
      <c r="P149" s="99">
        <v>8646.31</v>
      </c>
      <c r="Q149" s="118">
        <v>0</v>
      </c>
      <c r="R149" s="118">
        <v>0</v>
      </c>
    </row>
    <row r="150" spans="1:18" ht="13.5" thickBot="1">
      <c r="A150" s="95" t="s">
        <v>64</v>
      </c>
      <c r="B150" s="96">
        <v>12</v>
      </c>
      <c r="C150" s="96" t="s">
        <v>228</v>
      </c>
      <c r="D150" s="97" t="s">
        <v>298</v>
      </c>
      <c r="E150" s="97" t="s">
        <v>299</v>
      </c>
      <c r="F150" s="97" t="s">
        <v>78</v>
      </c>
      <c r="G150" s="97" t="s">
        <v>176</v>
      </c>
      <c r="H150" s="97" t="s">
        <v>233</v>
      </c>
      <c r="I150" s="162"/>
      <c r="J150" s="162"/>
      <c r="K150" s="98">
        <v>1500</v>
      </c>
      <c r="L150" s="99">
        <v>1440.27</v>
      </c>
      <c r="M150" s="98">
        <v>1000</v>
      </c>
      <c r="N150" s="99">
        <v>0</v>
      </c>
      <c r="O150" s="342">
        <v>1000</v>
      </c>
      <c r="P150" s="99">
        <v>0</v>
      </c>
      <c r="Q150" s="118">
        <v>0</v>
      </c>
      <c r="R150" s="118">
        <v>0</v>
      </c>
    </row>
    <row r="151" spans="1:18" ht="13.5" thickBot="1">
      <c r="A151" s="95" t="s">
        <v>64</v>
      </c>
      <c r="B151" s="96">
        <v>12</v>
      </c>
      <c r="C151" s="96" t="s">
        <v>228</v>
      </c>
      <c r="D151" s="97" t="s">
        <v>298</v>
      </c>
      <c r="E151" s="97" t="s">
        <v>299</v>
      </c>
      <c r="F151" s="97" t="s">
        <v>86</v>
      </c>
      <c r="G151" s="97" t="s">
        <v>179</v>
      </c>
      <c r="H151" s="97" t="s">
        <v>233</v>
      </c>
      <c r="I151" s="162"/>
      <c r="J151" s="162"/>
      <c r="K151" s="98">
        <v>1000</v>
      </c>
      <c r="L151" s="99">
        <v>181.49</v>
      </c>
      <c r="M151" s="98">
        <v>1000</v>
      </c>
      <c r="N151" s="99">
        <v>91.19</v>
      </c>
      <c r="O151" s="342">
        <v>1000</v>
      </c>
      <c r="P151" s="99">
        <v>0</v>
      </c>
      <c r="Q151" s="118">
        <v>0</v>
      </c>
      <c r="R151" s="118">
        <v>0</v>
      </c>
    </row>
    <row r="152" spans="1:18" ht="13.5" thickBot="1">
      <c r="A152" s="95" t="s">
        <v>64</v>
      </c>
      <c r="B152" s="96">
        <v>12</v>
      </c>
      <c r="C152" s="96" t="s">
        <v>228</v>
      </c>
      <c r="D152" s="97" t="s">
        <v>298</v>
      </c>
      <c r="E152" s="97" t="s">
        <v>299</v>
      </c>
      <c r="F152" s="97" t="s">
        <v>87</v>
      </c>
      <c r="G152" s="97" t="s">
        <v>237</v>
      </c>
      <c r="H152" s="97" t="s">
        <v>233</v>
      </c>
      <c r="I152" s="162"/>
      <c r="J152" s="162"/>
      <c r="K152" s="98">
        <v>0</v>
      </c>
      <c r="L152" s="99">
        <v>56.32</v>
      </c>
      <c r="M152" s="98">
        <v>0</v>
      </c>
      <c r="N152" s="99">
        <v>31.74</v>
      </c>
      <c r="O152" s="341"/>
      <c r="P152" s="164"/>
      <c r="Q152" s="135"/>
      <c r="R152" s="135"/>
    </row>
    <row r="153" spans="1:18" ht="13.5" thickBot="1">
      <c r="A153" s="95" t="s">
        <v>64</v>
      </c>
      <c r="B153" s="96">
        <v>12</v>
      </c>
      <c r="C153" s="96" t="s">
        <v>228</v>
      </c>
      <c r="D153" s="97" t="s">
        <v>298</v>
      </c>
      <c r="E153" s="97" t="s">
        <v>299</v>
      </c>
      <c r="F153" s="97" t="s">
        <v>134</v>
      </c>
      <c r="G153" s="97" t="s">
        <v>252</v>
      </c>
      <c r="H153" s="97" t="s">
        <v>233</v>
      </c>
      <c r="I153" s="162"/>
      <c r="J153" s="97" t="s">
        <v>203</v>
      </c>
      <c r="K153" s="98">
        <v>0</v>
      </c>
      <c r="L153" s="99">
        <v>5.15</v>
      </c>
      <c r="M153" s="163"/>
      <c r="N153" s="164"/>
      <c r="O153" s="341"/>
      <c r="P153" s="164"/>
      <c r="Q153" s="135"/>
      <c r="R153" s="135"/>
    </row>
    <row r="154" spans="1:18" ht="13.5" thickBot="1">
      <c r="A154" s="95" t="s">
        <v>64</v>
      </c>
      <c r="B154" s="96">
        <v>12</v>
      </c>
      <c r="C154" s="96" t="s">
        <v>228</v>
      </c>
      <c r="D154" s="97" t="s">
        <v>298</v>
      </c>
      <c r="E154" s="97" t="s">
        <v>299</v>
      </c>
      <c r="F154" s="97" t="s">
        <v>134</v>
      </c>
      <c r="G154" s="97" t="s">
        <v>252</v>
      </c>
      <c r="H154" s="97" t="s">
        <v>233</v>
      </c>
      <c r="I154" s="162"/>
      <c r="J154" s="162"/>
      <c r="K154" s="98">
        <v>0</v>
      </c>
      <c r="L154" s="99">
        <v>-5.15</v>
      </c>
      <c r="M154" s="98">
        <v>0</v>
      </c>
      <c r="N154" s="99">
        <v>-1</v>
      </c>
      <c r="O154" s="341"/>
      <c r="P154" s="164"/>
      <c r="Q154" s="135"/>
      <c r="R154" s="135"/>
    </row>
    <row r="155" spans="1:18" ht="13.5" thickBot="1">
      <c r="A155" s="95" t="s">
        <v>64</v>
      </c>
      <c r="B155" s="96">
        <v>12</v>
      </c>
      <c r="C155" s="96" t="s">
        <v>228</v>
      </c>
      <c r="D155" s="97" t="s">
        <v>298</v>
      </c>
      <c r="E155" s="97" t="s">
        <v>299</v>
      </c>
      <c r="F155" s="97" t="s">
        <v>136</v>
      </c>
      <c r="G155" s="97" t="s">
        <v>254</v>
      </c>
      <c r="H155" s="97" t="s">
        <v>233</v>
      </c>
      <c r="I155" s="162"/>
      <c r="J155" s="162"/>
      <c r="K155" s="98">
        <v>2000</v>
      </c>
      <c r="L155" s="99">
        <v>0</v>
      </c>
      <c r="M155" s="98">
        <v>2000</v>
      </c>
      <c r="N155" s="99">
        <v>0</v>
      </c>
      <c r="O155" s="342">
        <v>2000</v>
      </c>
      <c r="P155" s="99">
        <v>0</v>
      </c>
      <c r="Q155" s="118">
        <v>1000</v>
      </c>
      <c r="R155" s="118">
        <v>1000</v>
      </c>
    </row>
    <row r="156" spans="1:18" ht="13.5" thickBot="1">
      <c r="A156" s="95" t="s">
        <v>64</v>
      </c>
      <c r="B156" s="96">
        <v>12</v>
      </c>
      <c r="C156" s="96" t="s">
        <v>228</v>
      </c>
      <c r="D156" s="97" t="s">
        <v>298</v>
      </c>
      <c r="E156" s="97" t="s">
        <v>299</v>
      </c>
      <c r="F156" s="97" t="s">
        <v>142</v>
      </c>
      <c r="G156" s="97" t="s">
        <v>187</v>
      </c>
      <c r="H156" s="97" t="s">
        <v>233</v>
      </c>
      <c r="I156" s="162"/>
      <c r="J156" s="162"/>
      <c r="K156" s="163"/>
      <c r="L156" s="164"/>
      <c r="M156" s="98">
        <v>0</v>
      </c>
      <c r="N156" s="99">
        <v>310.79000000000002</v>
      </c>
      <c r="O156" s="341"/>
      <c r="P156" s="164"/>
      <c r="Q156" s="135"/>
      <c r="R156" s="135"/>
    </row>
    <row r="157" spans="1:18" ht="13.5" thickBot="1">
      <c r="A157" s="95" t="s">
        <v>64</v>
      </c>
      <c r="B157" s="96">
        <v>12</v>
      </c>
      <c r="C157" s="96" t="s">
        <v>228</v>
      </c>
      <c r="D157" s="97" t="s">
        <v>300</v>
      </c>
      <c r="E157" s="97" t="s">
        <v>301</v>
      </c>
      <c r="F157" s="97" t="s">
        <v>72</v>
      </c>
      <c r="G157" s="97" t="s">
        <v>290</v>
      </c>
      <c r="H157" s="97" t="s">
        <v>233</v>
      </c>
      <c r="I157" s="162"/>
      <c r="J157" s="162"/>
      <c r="K157" s="98">
        <v>0</v>
      </c>
      <c r="L157" s="99">
        <v>199.76</v>
      </c>
      <c r="M157" s="98">
        <v>0</v>
      </c>
      <c r="N157" s="99">
        <v>6097.54</v>
      </c>
      <c r="O157" s="341"/>
      <c r="P157" s="164"/>
      <c r="Q157" s="135"/>
      <c r="R157" s="135"/>
    </row>
    <row r="158" spans="1:18" ht="13.5" thickBot="1">
      <c r="A158" s="95" t="s">
        <v>64</v>
      </c>
      <c r="B158" s="96">
        <v>12</v>
      </c>
      <c r="C158" s="96" t="s">
        <v>228</v>
      </c>
      <c r="D158" s="97" t="s">
        <v>300</v>
      </c>
      <c r="E158" s="97" t="s">
        <v>301</v>
      </c>
      <c r="F158" s="97" t="s">
        <v>86</v>
      </c>
      <c r="G158" s="97" t="s">
        <v>179</v>
      </c>
      <c r="H158" s="97" t="s">
        <v>233</v>
      </c>
      <c r="I158" s="162"/>
      <c r="J158" s="162"/>
      <c r="K158" s="98">
        <v>10000</v>
      </c>
      <c r="L158" s="99">
        <v>0</v>
      </c>
      <c r="M158" s="98">
        <v>8000</v>
      </c>
      <c r="N158" s="99">
        <v>0</v>
      </c>
      <c r="O158" s="342">
        <v>4000</v>
      </c>
      <c r="P158" s="99">
        <v>0</v>
      </c>
      <c r="Q158" s="117">
        <v>3500</v>
      </c>
      <c r="R158" s="117">
        <v>3500</v>
      </c>
    </row>
    <row r="159" spans="1:18" ht="13.5" thickBot="1">
      <c r="A159" s="95" t="s">
        <v>64</v>
      </c>
      <c r="B159" s="96">
        <v>12</v>
      </c>
      <c r="C159" s="96" t="s">
        <v>228</v>
      </c>
      <c r="D159" s="97" t="s">
        <v>302</v>
      </c>
      <c r="E159" s="97" t="s">
        <v>303</v>
      </c>
      <c r="F159" s="97" t="s">
        <v>71</v>
      </c>
      <c r="G159" s="97" t="s">
        <v>232</v>
      </c>
      <c r="H159" s="97" t="s">
        <v>233</v>
      </c>
      <c r="I159" s="97" t="s">
        <v>294</v>
      </c>
      <c r="J159" s="162"/>
      <c r="K159" s="98">
        <v>0</v>
      </c>
      <c r="L159" s="99">
        <v>16644.5</v>
      </c>
      <c r="M159" s="98">
        <v>0</v>
      </c>
      <c r="N159" s="99">
        <v>19652.25</v>
      </c>
      <c r="O159" s="341"/>
      <c r="P159" s="164"/>
      <c r="Q159" s="135"/>
      <c r="R159" s="135"/>
    </row>
    <row r="160" spans="1:18" ht="13.5" thickBot="1">
      <c r="A160" s="95" t="s">
        <v>64</v>
      </c>
      <c r="B160" s="96">
        <v>12</v>
      </c>
      <c r="C160" s="96" t="s">
        <v>228</v>
      </c>
      <c r="D160" s="97" t="s">
        <v>302</v>
      </c>
      <c r="E160" s="97" t="s">
        <v>303</v>
      </c>
      <c r="F160" s="97" t="s">
        <v>71</v>
      </c>
      <c r="G160" s="97" t="s">
        <v>232</v>
      </c>
      <c r="H160" s="97" t="s">
        <v>233</v>
      </c>
      <c r="I160" s="97" t="s">
        <v>194</v>
      </c>
      <c r="J160" s="162"/>
      <c r="K160" s="98">
        <v>10000</v>
      </c>
      <c r="L160" s="99">
        <v>0</v>
      </c>
      <c r="M160" s="98">
        <v>14000</v>
      </c>
      <c r="N160" s="99">
        <v>0</v>
      </c>
      <c r="O160" s="342">
        <v>14000</v>
      </c>
      <c r="P160" s="99">
        <v>0</v>
      </c>
      <c r="Q160" s="118">
        <v>10000</v>
      </c>
      <c r="R160" s="118">
        <v>10000</v>
      </c>
    </row>
    <row r="161" spans="1:19" ht="13.5" thickBot="1">
      <c r="A161" s="95" t="s">
        <v>64</v>
      </c>
      <c r="B161" s="96">
        <v>12</v>
      </c>
      <c r="C161" s="96" t="s">
        <v>228</v>
      </c>
      <c r="D161" s="97" t="s">
        <v>302</v>
      </c>
      <c r="E161" s="97" t="s">
        <v>303</v>
      </c>
      <c r="F161" s="97" t="s">
        <v>72</v>
      </c>
      <c r="G161" s="97" t="s">
        <v>290</v>
      </c>
      <c r="H161" s="97" t="s">
        <v>233</v>
      </c>
      <c r="I161" s="162"/>
      <c r="J161" s="162"/>
      <c r="K161" s="98">
        <v>0</v>
      </c>
      <c r="L161" s="99">
        <v>1010.08</v>
      </c>
      <c r="M161" s="98">
        <v>0</v>
      </c>
      <c r="N161" s="99">
        <v>429.29</v>
      </c>
      <c r="O161" s="342">
        <v>0</v>
      </c>
      <c r="P161" s="99">
        <v>271.49</v>
      </c>
      <c r="Q161" s="118">
        <v>0</v>
      </c>
      <c r="R161" s="118">
        <v>0</v>
      </c>
      <c r="S161" s="308"/>
    </row>
    <row r="162" spans="1:19" ht="13.5" thickBot="1">
      <c r="A162" s="95" t="s">
        <v>64</v>
      </c>
      <c r="B162" s="96">
        <v>12</v>
      </c>
      <c r="C162" s="96" t="s">
        <v>228</v>
      </c>
      <c r="D162" s="97" t="s">
        <v>302</v>
      </c>
      <c r="E162" s="97" t="s">
        <v>303</v>
      </c>
      <c r="F162" s="97" t="s">
        <v>74</v>
      </c>
      <c r="G162" s="97" t="s">
        <v>234</v>
      </c>
      <c r="H162" s="97" t="s">
        <v>233</v>
      </c>
      <c r="I162" s="162"/>
      <c r="J162" s="162"/>
      <c r="K162" s="163"/>
      <c r="L162" s="164"/>
      <c r="M162" s="98">
        <v>0</v>
      </c>
      <c r="N162" s="99">
        <v>8652.84</v>
      </c>
      <c r="O162" s="341"/>
      <c r="P162" s="164"/>
      <c r="Q162" s="135"/>
      <c r="R162" s="135"/>
      <c r="S162" s="308"/>
    </row>
    <row r="163" spans="1:19" ht="13.5" thickBot="1">
      <c r="A163" s="95" t="s">
        <v>64</v>
      </c>
      <c r="B163" s="96">
        <v>12</v>
      </c>
      <c r="C163" s="96" t="s">
        <v>228</v>
      </c>
      <c r="D163" s="97" t="s">
        <v>302</v>
      </c>
      <c r="E163" s="97" t="s">
        <v>303</v>
      </c>
      <c r="F163" s="97" t="s">
        <v>86</v>
      </c>
      <c r="G163" s="97" t="s">
        <v>179</v>
      </c>
      <c r="H163" s="97" t="s">
        <v>233</v>
      </c>
      <c r="I163" s="162"/>
      <c r="J163" s="162"/>
      <c r="K163" s="98">
        <v>1500</v>
      </c>
      <c r="L163" s="99">
        <v>15</v>
      </c>
      <c r="M163" s="98">
        <v>1500</v>
      </c>
      <c r="N163" s="99">
        <v>0</v>
      </c>
      <c r="O163" s="341"/>
      <c r="P163" s="164"/>
      <c r="Q163" s="135"/>
      <c r="R163" s="135"/>
      <c r="S163" s="308"/>
    </row>
    <row r="164" spans="1:19" ht="13.5" thickBot="1">
      <c r="A164" s="95" t="s">
        <v>64</v>
      </c>
      <c r="B164" s="96">
        <v>12</v>
      </c>
      <c r="C164" s="96" t="s">
        <v>228</v>
      </c>
      <c r="D164" s="97" t="s">
        <v>302</v>
      </c>
      <c r="E164" s="97" t="s">
        <v>303</v>
      </c>
      <c r="F164" s="97" t="s">
        <v>90</v>
      </c>
      <c r="G164" s="97" t="s">
        <v>184</v>
      </c>
      <c r="H164" s="97" t="s">
        <v>233</v>
      </c>
      <c r="I164" s="162"/>
      <c r="J164" s="162"/>
      <c r="K164" s="98">
        <v>500</v>
      </c>
      <c r="L164" s="99">
        <v>678</v>
      </c>
      <c r="M164" s="98">
        <v>550</v>
      </c>
      <c r="N164" s="99">
        <v>403</v>
      </c>
      <c r="O164" s="341"/>
      <c r="P164" s="164"/>
      <c r="Q164" s="135"/>
      <c r="R164" s="135"/>
      <c r="S164" s="308"/>
    </row>
    <row r="165" spans="1:19" ht="13.5" thickBot="1">
      <c r="A165" s="95" t="s">
        <v>64</v>
      </c>
      <c r="B165" s="96">
        <v>12</v>
      </c>
      <c r="C165" s="96" t="s">
        <v>228</v>
      </c>
      <c r="D165" s="97" t="s">
        <v>302</v>
      </c>
      <c r="E165" s="97" t="s">
        <v>303</v>
      </c>
      <c r="F165" s="97" t="s">
        <v>120</v>
      </c>
      <c r="G165" s="97" t="s">
        <v>304</v>
      </c>
      <c r="H165" s="97" t="s">
        <v>233</v>
      </c>
      <c r="I165" s="162"/>
      <c r="J165" s="162"/>
      <c r="K165" s="98">
        <v>2500</v>
      </c>
      <c r="L165" s="99">
        <v>0</v>
      </c>
      <c r="M165" s="163"/>
      <c r="N165" s="164"/>
      <c r="O165" s="341"/>
      <c r="P165" s="164"/>
      <c r="Q165" s="135"/>
      <c r="R165" s="135"/>
      <c r="S165" s="308"/>
    </row>
    <row r="166" spans="1:19" ht="13.5" thickBot="1">
      <c r="A166" s="95" t="s">
        <v>64</v>
      </c>
      <c r="B166" s="96">
        <v>12</v>
      </c>
      <c r="C166" s="96" t="s">
        <v>228</v>
      </c>
      <c r="D166" s="97" t="s">
        <v>302</v>
      </c>
      <c r="E166" s="97" t="s">
        <v>303</v>
      </c>
      <c r="F166" s="97" t="s">
        <v>136</v>
      </c>
      <c r="G166" s="97" t="s">
        <v>254</v>
      </c>
      <c r="H166" s="97" t="s">
        <v>233</v>
      </c>
      <c r="I166" s="162"/>
      <c r="J166" s="162"/>
      <c r="K166" s="98">
        <v>0</v>
      </c>
      <c r="L166" s="99">
        <v>949</v>
      </c>
      <c r="M166" s="163"/>
      <c r="N166" s="164"/>
      <c r="O166" s="341"/>
      <c r="P166" s="164"/>
      <c r="Q166" s="135"/>
      <c r="R166" s="135"/>
      <c r="S166" s="308"/>
    </row>
    <row r="167" spans="1:19" ht="13.5" thickBot="1">
      <c r="A167" s="114" t="s">
        <v>64</v>
      </c>
      <c r="B167" s="115">
        <v>12</v>
      </c>
      <c r="C167" s="115" t="s">
        <v>228</v>
      </c>
      <c r="D167" s="116" t="s">
        <v>305</v>
      </c>
      <c r="E167" s="116" t="s">
        <v>306</v>
      </c>
      <c r="F167" s="116" t="s">
        <v>83</v>
      </c>
      <c r="G167" s="116" t="s">
        <v>178</v>
      </c>
      <c r="H167" s="116" t="s">
        <v>233</v>
      </c>
      <c r="I167" s="162"/>
      <c r="J167" s="162"/>
      <c r="K167" s="117">
        <v>20000</v>
      </c>
      <c r="L167" s="118">
        <v>0</v>
      </c>
      <c r="M167" s="117">
        <v>15000</v>
      </c>
      <c r="N167" s="118">
        <v>0</v>
      </c>
      <c r="O167" s="343">
        <v>15000</v>
      </c>
      <c r="P167" s="118">
        <v>0</v>
      </c>
      <c r="Q167" s="119">
        <v>15000</v>
      </c>
      <c r="R167" s="119">
        <v>15000</v>
      </c>
      <c r="S167" s="308" t="s">
        <v>307</v>
      </c>
    </row>
    <row r="168" spans="1:19" ht="13.5" thickBot="1">
      <c r="A168" s="114" t="s">
        <v>64</v>
      </c>
      <c r="B168" s="115">
        <v>12</v>
      </c>
      <c r="C168" s="115" t="s">
        <v>228</v>
      </c>
      <c r="D168" s="116" t="s">
        <v>305</v>
      </c>
      <c r="E168" s="116" t="s">
        <v>306</v>
      </c>
      <c r="F168" s="116" t="s">
        <v>92</v>
      </c>
      <c r="G168" s="116" t="s">
        <v>308</v>
      </c>
      <c r="H168" s="116" t="s">
        <v>233</v>
      </c>
      <c r="I168" s="162"/>
      <c r="J168" s="162"/>
      <c r="K168" s="117">
        <v>1032459</v>
      </c>
      <c r="L168" s="118">
        <v>1021553.87</v>
      </c>
      <c r="M168" s="117">
        <v>1325000</v>
      </c>
      <c r="N168" s="118">
        <v>1317319.1000000001</v>
      </c>
      <c r="O168" s="343">
        <v>1325000</v>
      </c>
      <c r="P168" s="118">
        <v>865238</v>
      </c>
      <c r="Q168" s="11">
        <v>900000</v>
      </c>
      <c r="R168" s="11">
        <v>900000</v>
      </c>
      <c r="S168" s="308" t="s">
        <v>309</v>
      </c>
    </row>
    <row r="169" spans="1:19" ht="13.5" thickBot="1">
      <c r="A169" s="114" t="s">
        <v>64</v>
      </c>
      <c r="B169" s="115">
        <v>12</v>
      </c>
      <c r="C169" s="115" t="s">
        <v>228</v>
      </c>
      <c r="D169" s="116" t="s">
        <v>305</v>
      </c>
      <c r="E169" s="116" t="s">
        <v>306</v>
      </c>
      <c r="F169" s="116" t="s">
        <v>93</v>
      </c>
      <c r="G169" s="116" t="s">
        <v>310</v>
      </c>
      <c r="H169" s="116" t="s">
        <v>233</v>
      </c>
      <c r="I169" s="162"/>
      <c r="J169" s="162"/>
      <c r="K169" s="117">
        <v>186078</v>
      </c>
      <c r="L169" s="118">
        <v>186078</v>
      </c>
      <c r="M169" s="117">
        <v>190000</v>
      </c>
      <c r="N169" s="118">
        <v>172766</v>
      </c>
      <c r="O169" s="343">
        <v>190000</v>
      </c>
      <c r="P169" s="118">
        <v>163679</v>
      </c>
      <c r="Q169" s="11">
        <v>190000</v>
      </c>
      <c r="R169" s="11">
        <v>190000</v>
      </c>
      <c r="S169" s="308" t="s">
        <v>311</v>
      </c>
    </row>
    <row r="170" spans="1:19" ht="13.5" thickBot="1">
      <c r="A170" s="114" t="s">
        <v>64</v>
      </c>
      <c r="B170" s="115">
        <v>12</v>
      </c>
      <c r="C170" s="115" t="s">
        <v>228</v>
      </c>
      <c r="D170" s="116" t="s">
        <v>305</v>
      </c>
      <c r="E170" s="116" t="s">
        <v>306</v>
      </c>
      <c r="F170" s="116" t="s">
        <v>94</v>
      </c>
      <c r="G170" s="116" t="s">
        <v>271</v>
      </c>
      <c r="H170" s="116" t="s">
        <v>233</v>
      </c>
      <c r="I170" s="162"/>
      <c r="J170" s="162"/>
      <c r="K170" s="117">
        <v>5000</v>
      </c>
      <c r="L170" s="118">
        <v>0</v>
      </c>
      <c r="M170" s="163"/>
      <c r="N170" s="164"/>
      <c r="O170" s="341"/>
      <c r="P170" s="164"/>
      <c r="Q170" s="11"/>
      <c r="S170" s="308"/>
    </row>
    <row r="171" spans="1:19" ht="13.5" thickBot="1">
      <c r="A171" s="114" t="s">
        <v>64</v>
      </c>
      <c r="B171" s="115">
        <v>12</v>
      </c>
      <c r="C171" s="115" t="s">
        <v>228</v>
      </c>
      <c r="D171" s="116" t="s">
        <v>305</v>
      </c>
      <c r="E171" s="116" t="s">
        <v>306</v>
      </c>
      <c r="F171" s="116" t="s">
        <v>117</v>
      </c>
      <c r="G171" s="116" t="s">
        <v>312</v>
      </c>
      <c r="H171" s="116" t="s">
        <v>233</v>
      </c>
      <c r="I171" s="162"/>
      <c r="J171" s="162"/>
      <c r="K171" s="117">
        <v>80000</v>
      </c>
      <c r="L171" s="118">
        <v>111650.27</v>
      </c>
      <c r="M171" s="117">
        <v>92000</v>
      </c>
      <c r="N171" s="118">
        <v>84600</v>
      </c>
      <c r="O171" s="343">
        <v>95000</v>
      </c>
      <c r="P171" s="118">
        <v>14600</v>
      </c>
      <c r="Q171" s="121">
        <f>79500+9850+9200+5000+25000</f>
        <v>128550</v>
      </c>
      <c r="R171" s="121">
        <f>79500+9850+9200+5000+25000</f>
        <v>128550</v>
      </c>
      <c r="S171" s="308" t="s">
        <v>313</v>
      </c>
    </row>
    <row r="172" spans="1:19" ht="13.5" thickBot="1">
      <c r="A172" s="114" t="s">
        <v>64</v>
      </c>
      <c r="B172" s="115">
        <v>12</v>
      </c>
      <c r="C172" s="115" t="s">
        <v>228</v>
      </c>
      <c r="D172" s="116" t="s">
        <v>305</v>
      </c>
      <c r="E172" s="116" t="s">
        <v>306</v>
      </c>
      <c r="F172" s="116" t="s">
        <v>150</v>
      </c>
      <c r="G172" s="116" t="s">
        <v>314</v>
      </c>
      <c r="H172" s="116" t="s">
        <v>315</v>
      </c>
      <c r="I172" s="162"/>
      <c r="J172" s="162"/>
      <c r="K172" s="117">
        <v>0</v>
      </c>
      <c r="L172" s="118">
        <v>1055000</v>
      </c>
      <c r="M172" s="117">
        <v>1115000</v>
      </c>
      <c r="N172" s="118">
        <v>1115000</v>
      </c>
      <c r="O172" s="343">
        <v>1185000</v>
      </c>
      <c r="P172" s="118">
        <v>0</v>
      </c>
      <c r="Q172" s="136">
        <v>1255000</v>
      </c>
      <c r="R172" s="136">
        <v>1255000</v>
      </c>
      <c r="S172" s="308" t="s">
        <v>316</v>
      </c>
    </row>
    <row r="173" spans="1:19" ht="13.5" thickBot="1">
      <c r="A173" s="114" t="s">
        <v>64</v>
      </c>
      <c r="B173" s="115">
        <v>12</v>
      </c>
      <c r="C173" s="115" t="s">
        <v>228</v>
      </c>
      <c r="D173" s="116" t="s">
        <v>305</v>
      </c>
      <c r="E173" s="116" t="s">
        <v>306</v>
      </c>
      <c r="F173" s="116" t="s">
        <v>150</v>
      </c>
      <c r="G173" s="116" t="s">
        <v>314</v>
      </c>
      <c r="H173" s="116" t="s">
        <v>233</v>
      </c>
      <c r="I173" s="162"/>
      <c r="J173" s="162"/>
      <c r="K173" s="117">
        <v>1055000</v>
      </c>
      <c r="L173" s="118">
        <v>0</v>
      </c>
      <c r="M173" s="163"/>
      <c r="N173" s="164"/>
      <c r="O173" s="341"/>
      <c r="P173" s="164"/>
      <c r="Q173" s="11"/>
      <c r="S173" s="308"/>
    </row>
    <row r="174" spans="1:19" ht="13.5" thickBot="1">
      <c r="A174" s="114" t="s">
        <v>64</v>
      </c>
      <c r="B174" s="115">
        <v>12</v>
      </c>
      <c r="C174" s="115" t="s">
        <v>228</v>
      </c>
      <c r="D174" s="116" t="s">
        <v>305</v>
      </c>
      <c r="E174" s="116" t="s">
        <v>306</v>
      </c>
      <c r="F174" s="116" t="s">
        <v>151</v>
      </c>
      <c r="G174" s="116" t="s">
        <v>317</v>
      </c>
      <c r="H174" s="116" t="s">
        <v>315</v>
      </c>
      <c r="I174" s="162"/>
      <c r="J174" s="162"/>
      <c r="K174" s="117">
        <v>0</v>
      </c>
      <c r="L174" s="118">
        <v>4676381</v>
      </c>
      <c r="M174" s="117">
        <v>4612975.5</v>
      </c>
      <c r="N174" s="118">
        <v>4612975.5</v>
      </c>
      <c r="O174" s="343">
        <v>4545964</v>
      </c>
      <c r="P174" s="118">
        <v>2272982</v>
      </c>
      <c r="Q174" s="11">
        <v>4474745.5</v>
      </c>
      <c r="R174" s="11">
        <v>4474745.5</v>
      </c>
      <c r="S174" s="308" t="s">
        <v>316</v>
      </c>
    </row>
    <row r="175" spans="1:19" ht="13.5" thickBot="1">
      <c r="A175" s="114" t="s">
        <v>64</v>
      </c>
      <c r="B175" s="115">
        <v>12</v>
      </c>
      <c r="C175" s="115" t="s">
        <v>228</v>
      </c>
      <c r="D175" s="116" t="s">
        <v>305</v>
      </c>
      <c r="E175" s="116" t="s">
        <v>306</v>
      </c>
      <c r="F175" s="116" t="s">
        <v>151</v>
      </c>
      <c r="G175" s="116" t="s">
        <v>317</v>
      </c>
      <c r="H175" s="116" t="s">
        <v>233</v>
      </c>
      <c r="I175" s="162"/>
      <c r="J175" s="162"/>
      <c r="K175" s="117">
        <v>4676381</v>
      </c>
      <c r="L175" s="118">
        <v>0</v>
      </c>
      <c r="M175" s="163"/>
      <c r="N175" s="164"/>
      <c r="O175" s="341"/>
      <c r="P175" s="164"/>
      <c r="Q175" s="11"/>
      <c r="S175" s="308"/>
    </row>
    <row r="176" spans="1:19" ht="13.5" thickBot="1">
      <c r="A176" s="114" t="s">
        <v>64</v>
      </c>
      <c r="B176" s="115">
        <v>12</v>
      </c>
      <c r="C176" s="115" t="s">
        <v>228</v>
      </c>
      <c r="D176" s="116" t="s">
        <v>305</v>
      </c>
      <c r="E176" s="116" t="s">
        <v>306</v>
      </c>
      <c r="F176" s="116" t="s">
        <v>153</v>
      </c>
      <c r="G176" s="116" t="s">
        <v>318</v>
      </c>
      <c r="H176" s="116" t="s">
        <v>189</v>
      </c>
      <c r="I176" s="162"/>
      <c r="J176" s="162"/>
      <c r="K176" s="117">
        <v>0</v>
      </c>
      <c r="L176" s="118">
        <v>255000</v>
      </c>
      <c r="M176" s="117">
        <v>255000</v>
      </c>
      <c r="N176" s="118">
        <v>255000</v>
      </c>
      <c r="O176" s="343">
        <v>255000</v>
      </c>
      <c r="P176" s="118">
        <v>0</v>
      </c>
      <c r="Q176" s="11">
        <v>255000</v>
      </c>
      <c r="R176" s="11">
        <v>255000</v>
      </c>
      <c r="S176" s="308"/>
    </row>
    <row r="177" spans="1:18" ht="13.5" thickBot="1">
      <c r="A177" s="114" t="s">
        <v>64</v>
      </c>
      <c r="B177" s="115">
        <v>12</v>
      </c>
      <c r="C177" s="115" t="s">
        <v>228</v>
      </c>
      <c r="D177" s="116" t="s">
        <v>305</v>
      </c>
      <c r="E177" s="116" t="s">
        <v>306</v>
      </c>
      <c r="F177" s="116" t="s">
        <v>153</v>
      </c>
      <c r="G177" s="116" t="s">
        <v>318</v>
      </c>
      <c r="H177" s="116" t="s">
        <v>233</v>
      </c>
      <c r="I177" s="162"/>
      <c r="J177" s="162"/>
      <c r="K177" s="117">
        <v>255000</v>
      </c>
      <c r="L177" s="118">
        <v>0</v>
      </c>
      <c r="M177" s="163"/>
      <c r="N177" s="164"/>
      <c r="O177" s="341"/>
      <c r="P177" s="164"/>
    </row>
    <row r="178" spans="1:18" s="100" customFormat="1" ht="13.5" thickBot="1">
      <c r="A178" s="95" t="s">
        <v>64</v>
      </c>
      <c r="B178" s="96" t="s">
        <v>56</v>
      </c>
      <c r="C178" s="96" t="s">
        <v>8</v>
      </c>
      <c r="D178" s="97" t="s">
        <v>319</v>
      </c>
      <c r="E178" s="97" t="s">
        <v>320</v>
      </c>
      <c r="F178" s="97" t="s">
        <v>86</v>
      </c>
      <c r="G178" s="97" t="s">
        <v>179</v>
      </c>
      <c r="H178" s="97" t="s">
        <v>175</v>
      </c>
      <c r="I178" s="162"/>
      <c r="J178" s="162"/>
      <c r="K178" s="98">
        <v>0</v>
      </c>
      <c r="L178" s="99">
        <v>-143</v>
      </c>
      <c r="M178" s="163"/>
      <c r="N178" s="164"/>
      <c r="O178" s="341"/>
      <c r="P178" s="164"/>
      <c r="Q178" s="137"/>
      <c r="R178" s="138"/>
    </row>
    <row r="179" spans="1:18" s="100" customFormat="1" ht="13.5" thickBot="1">
      <c r="A179" s="95" t="s">
        <v>64</v>
      </c>
      <c r="B179" s="96" t="s">
        <v>56</v>
      </c>
      <c r="C179" s="96" t="s">
        <v>8</v>
      </c>
      <c r="D179" s="97" t="s">
        <v>321</v>
      </c>
      <c r="E179" s="97" t="s">
        <v>322</v>
      </c>
      <c r="F179" s="97" t="s">
        <v>72</v>
      </c>
      <c r="G179" s="97" t="s">
        <v>290</v>
      </c>
      <c r="H179" s="97" t="s">
        <v>323</v>
      </c>
      <c r="I179" s="97" t="s">
        <v>194</v>
      </c>
      <c r="J179" s="162"/>
      <c r="K179" s="163"/>
      <c r="L179" s="164"/>
      <c r="M179" s="163"/>
      <c r="N179" s="164"/>
      <c r="O179" s="342">
        <v>10000</v>
      </c>
      <c r="P179" s="99">
        <v>0</v>
      </c>
      <c r="Q179" s="137"/>
      <c r="R179" s="138"/>
    </row>
    <row r="180" spans="1:18" s="100" customFormat="1" ht="13.5" thickBot="1">
      <c r="A180" s="95" t="s">
        <v>64</v>
      </c>
      <c r="B180" s="96" t="s">
        <v>56</v>
      </c>
      <c r="C180" s="96" t="s">
        <v>8</v>
      </c>
      <c r="D180" s="97" t="s">
        <v>321</v>
      </c>
      <c r="E180" s="97" t="s">
        <v>322</v>
      </c>
      <c r="F180" s="97" t="s">
        <v>72</v>
      </c>
      <c r="G180" s="97" t="s">
        <v>290</v>
      </c>
      <c r="H180" s="97" t="s">
        <v>323</v>
      </c>
      <c r="I180" s="162"/>
      <c r="J180" s="162"/>
      <c r="K180" s="98">
        <v>0</v>
      </c>
      <c r="L180" s="99">
        <v>586.08000000000004</v>
      </c>
      <c r="M180" s="163"/>
      <c r="N180" s="164"/>
      <c r="O180" s="341"/>
      <c r="P180" s="164"/>
      <c r="Q180" s="137"/>
      <c r="R180" s="138"/>
    </row>
    <row r="181" spans="1:18" s="100" customFormat="1" ht="13.5" thickBot="1">
      <c r="A181" s="95" t="s">
        <v>64</v>
      </c>
      <c r="B181" s="96" t="s">
        <v>56</v>
      </c>
      <c r="C181" s="96" t="s">
        <v>8</v>
      </c>
      <c r="D181" s="97" t="s">
        <v>321</v>
      </c>
      <c r="E181" s="97" t="s">
        <v>322</v>
      </c>
      <c r="F181" s="97" t="s">
        <v>74</v>
      </c>
      <c r="G181" s="97" t="s">
        <v>234</v>
      </c>
      <c r="H181" s="97" t="s">
        <v>323</v>
      </c>
      <c r="I181" s="162"/>
      <c r="J181" s="162"/>
      <c r="K181" s="98">
        <v>0</v>
      </c>
      <c r="L181" s="99">
        <v>12950.96</v>
      </c>
      <c r="M181" s="98">
        <v>13771</v>
      </c>
      <c r="N181" s="99">
        <v>14026.47</v>
      </c>
      <c r="O181" s="341"/>
      <c r="P181" s="164"/>
      <c r="Q181" s="137"/>
      <c r="R181" s="138"/>
    </row>
    <row r="182" spans="1:18" s="100" customFormat="1" ht="13.5" thickBot="1">
      <c r="A182" s="95" t="s">
        <v>64</v>
      </c>
      <c r="B182" s="96" t="s">
        <v>56</v>
      </c>
      <c r="C182" s="96" t="s">
        <v>8</v>
      </c>
      <c r="D182" s="97" t="s">
        <v>321</v>
      </c>
      <c r="E182" s="97" t="s">
        <v>322</v>
      </c>
      <c r="F182" s="97" t="s">
        <v>75</v>
      </c>
      <c r="G182" s="97" t="s">
        <v>174</v>
      </c>
      <c r="H182" s="97" t="s">
        <v>323</v>
      </c>
      <c r="I182" s="162"/>
      <c r="J182" s="162"/>
      <c r="K182" s="163"/>
      <c r="L182" s="164"/>
      <c r="M182" s="98">
        <v>0</v>
      </c>
      <c r="N182" s="99">
        <v>44.36</v>
      </c>
      <c r="O182" s="341"/>
      <c r="P182" s="164"/>
      <c r="Q182" s="137"/>
      <c r="R182" s="138"/>
    </row>
    <row r="183" spans="1:18" s="100" customFormat="1" ht="13.5" thickBot="1">
      <c r="A183" s="95" t="s">
        <v>64</v>
      </c>
      <c r="B183" s="96" t="s">
        <v>56</v>
      </c>
      <c r="C183" s="96" t="s">
        <v>8</v>
      </c>
      <c r="D183" s="97" t="s">
        <v>321</v>
      </c>
      <c r="E183" s="97" t="s">
        <v>322</v>
      </c>
      <c r="F183" s="97" t="s">
        <v>78</v>
      </c>
      <c r="G183" s="97" t="s">
        <v>176</v>
      </c>
      <c r="H183" s="97" t="s">
        <v>323</v>
      </c>
      <c r="I183" s="162"/>
      <c r="J183" s="162"/>
      <c r="K183" s="98">
        <v>0</v>
      </c>
      <c r="L183" s="99">
        <v>673.28</v>
      </c>
      <c r="M183" s="98">
        <v>100</v>
      </c>
      <c r="N183" s="99">
        <v>4522.84</v>
      </c>
      <c r="O183" s="342">
        <v>5000</v>
      </c>
      <c r="P183" s="99">
        <v>193.87</v>
      </c>
      <c r="Q183" s="137">
        <v>5000</v>
      </c>
      <c r="R183" s="138">
        <v>5000</v>
      </c>
    </row>
    <row r="184" spans="1:18" s="100" customFormat="1" ht="13.5" thickBot="1">
      <c r="A184" s="95" t="s">
        <v>64</v>
      </c>
      <c r="B184" s="96" t="s">
        <v>56</v>
      </c>
      <c r="C184" s="96" t="s">
        <v>8</v>
      </c>
      <c r="D184" s="97" t="s">
        <v>321</v>
      </c>
      <c r="E184" s="97" t="s">
        <v>322</v>
      </c>
      <c r="F184" s="97" t="s">
        <v>83</v>
      </c>
      <c r="G184" s="97" t="s">
        <v>178</v>
      </c>
      <c r="H184" s="97" t="s">
        <v>323</v>
      </c>
      <c r="I184" s="162"/>
      <c r="J184" s="162"/>
      <c r="K184" s="98">
        <v>221989</v>
      </c>
      <c r="L184" s="99">
        <v>17812.95</v>
      </c>
      <c r="M184" s="98">
        <v>208218</v>
      </c>
      <c r="N184" s="99">
        <v>30177.64</v>
      </c>
      <c r="O184" s="342">
        <v>213089</v>
      </c>
      <c r="P184" s="99">
        <v>21410</v>
      </c>
      <c r="Q184" s="137">
        <v>212700</v>
      </c>
      <c r="R184" s="138">
        <v>212700</v>
      </c>
    </row>
    <row r="185" spans="1:18" s="100" customFormat="1" ht="13.5" thickBot="1">
      <c r="A185" s="95" t="s">
        <v>64</v>
      </c>
      <c r="B185" s="96" t="s">
        <v>56</v>
      </c>
      <c r="C185" s="96" t="s">
        <v>8</v>
      </c>
      <c r="D185" s="97" t="s">
        <v>321</v>
      </c>
      <c r="E185" s="97" t="s">
        <v>322</v>
      </c>
      <c r="F185" s="97" t="s">
        <v>86</v>
      </c>
      <c r="G185" s="97" t="s">
        <v>179</v>
      </c>
      <c r="H185" s="97" t="s">
        <v>323</v>
      </c>
      <c r="I185" s="162"/>
      <c r="J185" s="162"/>
      <c r="K185" s="98">
        <v>35000</v>
      </c>
      <c r="L185" s="99">
        <v>8495.94</v>
      </c>
      <c r="M185" s="98">
        <v>35000</v>
      </c>
      <c r="N185" s="99">
        <v>10361.4</v>
      </c>
      <c r="O185" s="342">
        <v>35000</v>
      </c>
      <c r="P185" s="99">
        <v>695</v>
      </c>
      <c r="Q185" s="137">
        <v>35000</v>
      </c>
      <c r="R185" s="138">
        <v>35000</v>
      </c>
    </row>
    <row r="186" spans="1:18" s="100" customFormat="1" ht="13.5" thickBot="1">
      <c r="A186" s="95" t="s">
        <v>64</v>
      </c>
      <c r="B186" s="96" t="s">
        <v>56</v>
      </c>
      <c r="C186" s="96" t="s">
        <v>8</v>
      </c>
      <c r="D186" s="97" t="s">
        <v>321</v>
      </c>
      <c r="E186" s="97" t="s">
        <v>322</v>
      </c>
      <c r="F186" s="97" t="s">
        <v>89</v>
      </c>
      <c r="G186" s="97" t="s">
        <v>183</v>
      </c>
      <c r="H186" s="97" t="s">
        <v>323</v>
      </c>
      <c r="I186" s="162"/>
      <c r="J186" s="162"/>
      <c r="K186" s="98">
        <v>0</v>
      </c>
      <c r="L186" s="99">
        <v>3918.35</v>
      </c>
      <c r="M186" s="98">
        <v>1000</v>
      </c>
      <c r="N186" s="99">
        <v>1135.9100000000001</v>
      </c>
      <c r="O186" s="342">
        <v>5000</v>
      </c>
      <c r="P186" s="99">
        <v>0</v>
      </c>
      <c r="Q186" s="137">
        <v>5000</v>
      </c>
      <c r="R186" s="138">
        <v>5000</v>
      </c>
    </row>
    <row r="187" spans="1:18" s="100" customFormat="1" ht="13.5" thickBot="1">
      <c r="A187" s="95" t="s">
        <v>64</v>
      </c>
      <c r="B187" s="96" t="s">
        <v>56</v>
      </c>
      <c r="C187" s="96" t="s">
        <v>8</v>
      </c>
      <c r="D187" s="97" t="s">
        <v>321</v>
      </c>
      <c r="E187" s="97" t="s">
        <v>322</v>
      </c>
      <c r="F187" s="97" t="s">
        <v>90</v>
      </c>
      <c r="G187" s="97" t="s">
        <v>184</v>
      </c>
      <c r="H187" s="97" t="s">
        <v>323</v>
      </c>
      <c r="I187" s="162"/>
      <c r="J187" s="162"/>
      <c r="K187" s="98">
        <v>3341</v>
      </c>
      <c r="L187" s="99">
        <v>3470</v>
      </c>
      <c r="M187" s="98">
        <v>3341</v>
      </c>
      <c r="N187" s="99">
        <v>3499</v>
      </c>
      <c r="O187" s="342">
        <v>3341</v>
      </c>
      <c r="P187" s="99">
        <v>3730</v>
      </c>
      <c r="Q187" s="137">
        <v>3730</v>
      </c>
      <c r="R187" s="138">
        <v>3730</v>
      </c>
    </row>
    <row r="188" spans="1:18" s="100" customFormat="1" ht="13.5" thickBot="1">
      <c r="A188" s="95" t="s">
        <v>64</v>
      </c>
      <c r="B188" s="96" t="s">
        <v>56</v>
      </c>
      <c r="C188" s="96" t="s">
        <v>8</v>
      </c>
      <c r="D188" s="97" t="s">
        <v>321</v>
      </c>
      <c r="E188" s="97" t="s">
        <v>322</v>
      </c>
      <c r="F188" s="97" t="s">
        <v>125</v>
      </c>
      <c r="G188" s="97" t="s">
        <v>214</v>
      </c>
      <c r="H188" s="97" t="s">
        <v>323</v>
      </c>
      <c r="I188" s="162"/>
      <c r="J188" s="162"/>
      <c r="K188" s="163"/>
      <c r="L188" s="164"/>
      <c r="M188" s="163"/>
      <c r="N188" s="164"/>
      <c r="O188" s="342">
        <v>0</v>
      </c>
      <c r="P188" s="99">
        <v>90.6</v>
      </c>
      <c r="Q188" s="137"/>
      <c r="R188" s="138"/>
    </row>
    <row r="189" spans="1:18" s="100" customFormat="1" ht="13.5" thickBot="1">
      <c r="A189" s="95" t="s">
        <v>64</v>
      </c>
      <c r="B189" s="96" t="s">
        <v>56</v>
      </c>
      <c r="C189" s="96" t="s">
        <v>8</v>
      </c>
      <c r="D189" s="97" t="s">
        <v>321</v>
      </c>
      <c r="E189" s="97" t="s">
        <v>322</v>
      </c>
      <c r="F189" s="97" t="s">
        <v>137</v>
      </c>
      <c r="G189" s="97" t="s">
        <v>255</v>
      </c>
      <c r="H189" s="97" t="s">
        <v>323</v>
      </c>
      <c r="I189" s="162"/>
      <c r="J189" s="162"/>
      <c r="K189" s="98">
        <v>0</v>
      </c>
      <c r="L189" s="99">
        <v>-68.739999999999995</v>
      </c>
      <c r="M189" s="163"/>
      <c r="N189" s="164"/>
      <c r="O189" s="341"/>
      <c r="P189" s="164"/>
      <c r="Q189" s="137"/>
      <c r="R189" s="138"/>
    </row>
    <row r="190" spans="1:18" s="100" customFormat="1" ht="13.5" thickBot="1">
      <c r="A190" s="95" t="s">
        <v>64</v>
      </c>
      <c r="B190" s="96" t="s">
        <v>56</v>
      </c>
      <c r="C190" s="96" t="s">
        <v>8</v>
      </c>
      <c r="D190" s="97" t="s">
        <v>324</v>
      </c>
      <c r="E190" s="97" t="s">
        <v>325</v>
      </c>
      <c r="F190" s="97" t="s">
        <v>72</v>
      </c>
      <c r="G190" s="97" t="s">
        <v>290</v>
      </c>
      <c r="H190" s="97" t="s">
        <v>323</v>
      </c>
      <c r="I190" s="162"/>
      <c r="J190" s="162"/>
      <c r="K190" s="98">
        <v>0</v>
      </c>
      <c r="L190" s="99">
        <v>925.02</v>
      </c>
      <c r="M190" s="98">
        <v>0</v>
      </c>
      <c r="N190" s="99">
        <v>7303.77</v>
      </c>
      <c r="O190" s="342">
        <v>0</v>
      </c>
      <c r="P190" s="99">
        <v>2849.97</v>
      </c>
      <c r="Q190" s="137"/>
      <c r="R190" s="138"/>
    </row>
    <row r="191" spans="1:18" s="100" customFormat="1" ht="13.5" thickBot="1">
      <c r="A191" s="95" t="s">
        <v>64</v>
      </c>
      <c r="B191" s="96" t="s">
        <v>56</v>
      </c>
      <c r="C191" s="96" t="s">
        <v>8</v>
      </c>
      <c r="D191" s="97" t="s">
        <v>324</v>
      </c>
      <c r="E191" s="97" t="s">
        <v>325</v>
      </c>
      <c r="F191" s="97" t="s">
        <v>75</v>
      </c>
      <c r="G191" s="97" t="s">
        <v>174</v>
      </c>
      <c r="H191" s="97" t="s">
        <v>323</v>
      </c>
      <c r="I191" s="162"/>
      <c r="J191" s="162"/>
      <c r="K191" s="163"/>
      <c r="L191" s="164"/>
      <c r="M191" s="98">
        <v>0</v>
      </c>
      <c r="N191" s="99">
        <v>119.21</v>
      </c>
      <c r="O191" s="341"/>
      <c r="P191" s="164"/>
      <c r="Q191" s="137"/>
      <c r="R191" s="138"/>
    </row>
    <row r="192" spans="1:18" s="100" customFormat="1" ht="13.5" thickBot="1">
      <c r="A192" s="95" t="s">
        <v>64</v>
      </c>
      <c r="B192" s="96" t="s">
        <v>56</v>
      </c>
      <c r="C192" s="96" t="s">
        <v>8</v>
      </c>
      <c r="D192" s="97" t="s">
        <v>324</v>
      </c>
      <c r="E192" s="97" t="s">
        <v>325</v>
      </c>
      <c r="F192" s="97" t="s">
        <v>78</v>
      </c>
      <c r="G192" s="97" t="s">
        <v>176</v>
      </c>
      <c r="H192" s="97" t="s">
        <v>323</v>
      </c>
      <c r="I192" s="162"/>
      <c r="J192" s="162"/>
      <c r="K192" s="98">
        <v>0</v>
      </c>
      <c r="L192" s="99">
        <v>1260.2</v>
      </c>
      <c r="M192" s="98">
        <v>0</v>
      </c>
      <c r="N192" s="99">
        <v>36.78</v>
      </c>
      <c r="O192" s="341"/>
      <c r="P192" s="164"/>
      <c r="Q192" s="137"/>
      <c r="R192" s="138"/>
    </row>
    <row r="193" spans="1:19" s="100" customFormat="1" ht="13.5" thickBot="1">
      <c r="A193" s="95" t="s">
        <v>64</v>
      </c>
      <c r="B193" s="96" t="s">
        <v>56</v>
      </c>
      <c r="C193" s="96" t="s">
        <v>8</v>
      </c>
      <c r="D193" s="97" t="s">
        <v>324</v>
      </c>
      <c r="E193" s="97" t="s">
        <v>325</v>
      </c>
      <c r="F193" s="97" t="s">
        <v>83</v>
      </c>
      <c r="G193" s="97" t="s">
        <v>178</v>
      </c>
      <c r="H193" s="97" t="s">
        <v>323</v>
      </c>
      <c r="I193" s="162"/>
      <c r="J193" s="162"/>
      <c r="K193" s="98">
        <v>110000</v>
      </c>
      <c r="L193" s="99">
        <v>59620.38</v>
      </c>
      <c r="M193" s="98">
        <v>126000</v>
      </c>
      <c r="N193" s="99">
        <v>43969</v>
      </c>
      <c r="O193" s="342">
        <v>70900</v>
      </c>
      <c r="P193" s="99">
        <v>0</v>
      </c>
      <c r="Q193" s="137">
        <v>66540</v>
      </c>
      <c r="R193" s="138">
        <v>66540</v>
      </c>
    </row>
    <row r="194" spans="1:19" s="100" customFormat="1" ht="13.5" thickBot="1">
      <c r="A194" s="95" t="s">
        <v>64</v>
      </c>
      <c r="B194" s="96" t="s">
        <v>56</v>
      </c>
      <c r="C194" s="96" t="s">
        <v>8</v>
      </c>
      <c r="D194" s="97" t="s">
        <v>324</v>
      </c>
      <c r="E194" s="97" t="s">
        <v>325</v>
      </c>
      <c r="F194" s="97" t="s">
        <v>86</v>
      </c>
      <c r="G194" s="97" t="s">
        <v>179</v>
      </c>
      <c r="H194" s="97" t="s">
        <v>323</v>
      </c>
      <c r="I194" s="162"/>
      <c r="J194" s="162"/>
      <c r="K194" s="98">
        <v>32000</v>
      </c>
      <c r="L194" s="99">
        <v>17644.32</v>
      </c>
      <c r="M194" s="98">
        <v>32000</v>
      </c>
      <c r="N194" s="99">
        <v>12544.49</v>
      </c>
      <c r="O194" s="342">
        <v>51450</v>
      </c>
      <c r="P194" s="99">
        <v>395</v>
      </c>
      <c r="Q194" s="137">
        <v>51450</v>
      </c>
      <c r="R194" s="138">
        <v>51450</v>
      </c>
    </row>
    <row r="195" spans="1:19" s="100" customFormat="1" ht="13.5" thickBot="1">
      <c r="A195" s="95" t="s">
        <v>64</v>
      </c>
      <c r="B195" s="96" t="s">
        <v>56</v>
      </c>
      <c r="C195" s="96" t="s">
        <v>8</v>
      </c>
      <c r="D195" s="97" t="s">
        <v>324</v>
      </c>
      <c r="E195" s="97" t="s">
        <v>325</v>
      </c>
      <c r="F195" s="97" t="s">
        <v>89</v>
      </c>
      <c r="G195" s="97" t="s">
        <v>183</v>
      </c>
      <c r="H195" s="97" t="s">
        <v>323</v>
      </c>
      <c r="I195" s="162"/>
      <c r="J195" s="162"/>
      <c r="K195" s="98">
        <v>0</v>
      </c>
      <c r="L195" s="99">
        <v>54.39</v>
      </c>
      <c r="M195" s="163"/>
      <c r="N195" s="164"/>
      <c r="O195" s="341"/>
      <c r="P195" s="164"/>
      <c r="Q195" s="137"/>
      <c r="R195" s="138"/>
    </row>
    <row r="196" spans="1:19" s="100" customFormat="1" ht="13.5" thickBot="1">
      <c r="A196" s="95" t="s">
        <v>64</v>
      </c>
      <c r="B196" s="96" t="s">
        <v>56</v>
      </c>
      <c r="C196" s="96" t="s">
        <v>8</v>
      </c>
      <c r="D196" s="97" t="s">
        <v>324</v>
      </c>
      <c r="E196" s="97" t="s">
        <v>325</v>
      </c>
      <c r="F196" s="97" t="s">
        <v>106</v>
      </c>
      <c r="G196" s="97" t="s">
        <v>185</v>
      </c>
      <c r="H196" s="97" t="s">
        <v>323</v>
      </c>
      <c r="I196" s="162"/>
      <c r="J196" s="162"/>
      <c r="K196" s="98">
        <v>260003</v>
      </c>
      <c r="L196" s="99">
        <v>159593.04</v>
      </c>
      <c r="M196" s="98">
        <v>475203</v>
      </c>
      <c r="N196" s="99">
        <v>297557.73</v>
      </c>
      <c r="O196" s="342">
        <v>354600</v>
      </c>
      <c r="P196" s="99">
        <v>301764.75</v>
      </c>
      <c r="Q196" s="137">
        <v>389600</v>
      </c>
      <c r="R196" s="138">
        <v>389600</v>
      </c>
    </row>
    <row r="197" spans="1:19" s="100" customFormat="1" ht="13.5" thickBot="1">
      <c r="A197" s="95" t="s">
        <v>64</v>
      </c>
      <c r="B197" s="96" t="s">
        <v>56</v>
      </c>
      <c r="C197" s="96" t="s">
        <v>8</v>
      </c>
      <c r="D197" s="97" t="s">
        <v>324</v>
      </c>
      <c r="E197" s="97" t="s">
        <v>325</v>
      </c>
      <c r="F197" s="97" t="s">
        <v>113</v>
      </c>
      <c r="G197" s="97" t="s">
        <v>326</v>
      </c>
      <c r="H197" s="97" t="s">
        <v>323</v>
      </c>
      <c r="I197" s="162"/>
      <c r="J197" s="162"/>
      <c r="K197" s="98">
        <v>14000</v>
      </c>
      <c r="L197" s="99">
        <v>11200</v>
      </c>
      <c r="M197" s="98">
        <v>14000</v>
      </c>
      <c r="N197" s="99">
        <v>11200</v>
      </c>
      <c r="O197" s="342">
        <v>22500</v>
      </c>
      <c r="P197" s="99">
        <v>62009.42</v>
      </c>
      <c r="Q197" s="137">
        <v>8500</v>
      </c>
      <c r="R197" s="138">
        <v>8500</v>
      </c>
    </row>
    <row r="198" spans="1:19" s="100" customFormat="1" ht="13.5" thickBot="1">
      <c r="A198" s="95" t="s">
        <v>64</v>
      </c>
      <c r="B198" s="96" t="s">
        <v>56</v>
      </c>
      <c r="C198" s="96" t="s">
        <v>8</v>
      </c>
      <c r="D198" s="97" t="s">
        <v>324</v>
      </c>
      <c r="E198" s="97" t="s">
        <v>325</v>
      </c>
      <c r="F198" s="97" t="s">
        <v>131</v>
      </c>
      <c r="G198" s="97" t="s">
        <v>206</v>
      </c>
      <c r="H198" s="97" t="s">
        <v>323</v>
      </c>
      <c r="I198" s="162"/>
      <c r="J198" s="162"/>
      <c r="K198" s="98">
        <v>0</v>
      </c>
      <c r="L198" s="99">
        <v>5140</v>
      </c>
      <c r="M198" s="163"/>
      <c r="N198" s="164"/>
      <c r="O198" s="342">
        <v>0</v>
      </c>
      <c r="P198" s="99">
        <v>0</v>
      </c>
      <c r="Q198" s="137"/>
      <c r="R198" s="138"/>
    </row>
    <row r="199" spans="1:19" s="100" customFormat="1" ht="13.5" thickBot="1">
      <c r="A199" s="95" t="s">
        <v>64</v>
      </c>
      <c r="B199" s="96" t="s">
        <v>56</v>
      </c>
      <c r="C199" s="96" t="s">
        <v>8</v>
      </c>
      <c r="D199" s="97" t="s">
        <v>324</v>
      </c>
      <c r="E199" s="97" t="s">
        <v>325</v>
      </c>
      <c r="F199" s="97" t="s">
        <v>133</v>
      </c>
      <c r="G199" s="97" t="s">
        <v>327</v>
      </c>
      <c r="H199" s="97" t="s">
        <v>323</v>
      </c>
      <c r="I199" s="162"/>
      <c r="J199" s="162"/>
      <c r="K199" s="98">
        <v>10000</v>
      </c>
      <c r="L199" s="99">
        <v>0</v>
      </c>
      <c r="M199" s="163"/>
      <c r="N199" s="164"/>
      <c r="O199" s="341"/>
      <c r="P199" s="164"/>
      <c r="Q199" s="137"/>
      <c r="R199" s="138"/>
    </row>
    <row r="200" spans="1:19" s="100" customFormat="1" ht="13.5" thickBot="1">
      <c r="A200" s="95" t="s">
        <v>64</v>
      </c>
      <c r="B200" s="96" t="s">
        <v>56</v>
      </c>
      <c r="C200" s="96" t="s">
        <v>8</v>
      </c>
      <c r="D200" s="97" t="s">
        <v>324</v>
      </c>
      <c r="E200" s="97" t="s">
        <v>325</v>
      </c>
      <c r="F200" s="97" t="s">
        <v>136</v>
      </c>
      <c r="G200" s="97" t="s">
        <v>254</v>
      </c>
      <c r="H200" s="97" t="s">
        <v>323</v>
      </c>
      <c r="I200" s="162"/>
      <c r="J200" s="162"/>
      <c r="K200" s="98">
        <v>33000</v>
      </c>
      <c r="L200" s="99">
        <v>33456.49</v>
      </c>
      <c r="M200" s="98">
        <v>33000</v>
      </c>
      <c r="N200" s="99">
        <v>32760</v>
      </c>
      <c r="O200" s="342">
        <v>41000</v>
      </c>
      <c r="P200" s="99">
        <v>360</v>
      </c>
      <c r="Q200" s="137">
        <v>41000</v>
      </c>
      <c r="R200" s="138">
        <v>41000</v>
      </c>
    </row>
    <row r="201" spans="1:19" s="100" customFormat="1" ht="13.5" thickBot="1">
      <c r="A201" s="95" t="s">
        <v>64</v>
      </c>
      <c r="B201" s="96" t="s">
        <v>56</v>
      </c>
      <c r="C201" s="96" t="s">
        <v>8</v>
      </c>
      <c r="D201" s="97" t="s">
        <v>324</v>
      </c>
      <c r="E201" s="97" t="s">
        <v>325</v>
      </c>
      <c r="F201" s="97" t="s">
        <v>142</v>
      </c>
      <c r="G201" s="97" t="s">
        <v>187</v>
      </c>
      <c r="H201" s="97" t="s">
        <v>323</v>
      </c>
      <c r="I201" s="162"/>
      <c r="J201" s="162"/>
      <c r="K201" s="98">
        <v>0</v>
      </c>
      <c r="L201" s="99">
        <v>1375.93</v>
      </c>
      <c r="M201" s="98">
        <v>0</v>
      </c>
      <c r="N201" s="99">
        <v>5881.5</v>
      </c>
      <c r="O201" s="341"/>
      <c r="P201" s="164"/>
      <c r="Q201" s="137"/>
      <c r="R201" s="138"/>
    </row>
    <row r="202" spans="1:19" s="100" customFormat="1" ht="13.5" thickBot="1">
      <c r="A202" s="95" t="s">
        <v>64</v>
      </c>
      <c r="B202" s="96" t="s">
        <v>56</v>
      </c>
      <c r="C202" s="96" t="s">
        <v>8</v>
      </c>
      <c r="D202" s="97" t="s">
        <v>328</v>
      </c>
      <c r="E202" s="97" t="s">
        <v>329</v>
      </c>
      <c r="F202" s="97" t="s">
        <v>72</v>
      </c>
      <c r="G202" s="97" t="s">
        <v>290</v>
      </c>
      <c r="H202" s="97" t="s">
        <v>323</v>
      </c>
      <c r="I202" s="97" t="s">
        <v>194</v>
      </c>
      <c r="J202" s="162"/>
      <c r="K202" s="98">
        <v>10000</v>
      </c>
      <c r="L202" s="99">
        <v>0</v>
      </c>
      <c r="M202" s="98">
        <v>10000</v>
      </c>
      <c r="N202" s="99">
        <v>0</v>
      </c>
      <c r="O202" s="341"/>
      <c r="P202" s="164"/>
      <c r="Q202" s="137"/>
      <c r="R202" s="138"/>
    </row>
    <row r="203" spans="1:19" s="100" customFormat="1" ht="13.5" thickBot="1">
      <c r="A203" s="95" t="s">
        <v>64</v>
      </c>
      <c r="B203" s="96" t="s">
        <v>56</v>
      </c>
      <c r="C203" s="96" t="s">
        <v>8</v>
      </c>
      <c r="D203" s="97" t="s">
        <v>328</v>
      </c>
      <c r="E203" s="97" t="s">
        <v>329</v>
      </c>
      <c r="F203" s="97" t="s">
        <v>72</v>
      </c>
      <c r="G203" s="97" t="s">
        <v>290</v>
      </c>
      <c r="H203" s="97" t="s">
        <v>323</v>
      </c>
      <c r="I203" s="162"/>
      <c r="J203" s="162"/>
      <c r="K203" s="98">
        <v>0</v>
      </c>
      <c r="L203" s="99">
        <v>6782.13</v>
      </c>
      <c r="M203" s="98">
        <v>0</v>
      </c>
      <c r="N203" s="99">
        <v>1106.82</v>
      </c>
      <c r="O203" s="342">
        <v>0</v>
      </c>
      <c r="P203" s="99">
        <v>0</v>
      </c>
      <c r="Q203" s="137"/>
      <c r="R203" s="138"/>
    </row>
    <row r="204" spans="1:19" s="100" customFormat="1" ht="13.5" thickBot="1">
      <c r="A204" s="95" t="s">
        <v>64</v>
      </c>
      <c r="B204" s="96" t="s">
        <v>56</v>
      </c>
      <c r="C204" s="96" t="s">
        <v>8</v>
      </c>
      <c r="D204" s="97" t="s">
        <v>328</v>
      </c>
      <c r="E204" s="97" t="s">
        <v>329</v>
      </c>
      <c r="F204" s="97" t="s">
        <v>75</v>
      </c>
      <c r="G204" s="97" t="s">
        <v>174</v>
      </c>
      <c r="H204" s="97" t="s">
        <v>323</v>
      </c>
      <c r="I204" s="162"/>
      <c r="J204" s="162"/>
      <c r="K204" s="98">
        <v>750</v>
      </c>
      <c r="L204" s="99">
        <v>0</v>
      </c>
      <c r="M204" s="98">
        <v>750</v>
      </c>
      <c r="N204" s="99">
        <v>0</v>
      </c>
      <c r="O204" s="342">
        <v>750</v>
      </c>
      <c r="P204" s="99">
        <v>0</v>
      </c>
      <c r="Q204" s="137">
        <v>750</v>
      </c>
      <c r="R204" s="138">
        <v>750</v>
      </c>
    </row>
    <row r="205" spans="1:19" s="100" customFormat="1" ht="13.5" thickBot="1">
      <c r="A205" s="95" t="s">
        <v>64</v>
      </c>
      <c r="B205" s="96" t="s">
        <v>56</v>
      </c>
      <c r="C205" s="96" t="s">
        <v>8</v>
      </c>
      <c r="D205" s="97" t="s">
        <v>328</v>
      </c>
      <c r="E205" s="97" t="s">
        <v>329</v>
      </c>
      <c r="F205" s="97" t="s">
        <v>77</v>
      </c>
      <c r="G205" s="97" t="s">
        <v>330</v>
      </c>
      <c r="H205" s="97" t="s">
        <v>323</v>
      </c>
      <c r="I205" s="162"/>
      <c r="J205" s="162"/>
      <c r="K205" s="98">
        <v>500</v>
      </c>
      <c r="L205" s="99">
        <v>0</v>
      </c>
      <c r="M205" s="98">
        <v>750</v>
      </c>
      <c r="N205" s="99">
        <v>0</v>
      </c>
      <c r="O205" s="342">
        <v>750</v>
      </c>
      <c r="P205" s="99">
        <v>0</v>
      </c>
      <c r="Q205" s="137">
        <v>750</v>
      </c>
      <c r="R205" s="138">
        <v>750</v>
      </c>
    </row>
    <row r="206" spans="1:19" s="100" customFormat="1" ht="13.5" thickBot="1">
      <c r="A206" s="95" t="s">
        <v>64</v>
      </c>
      <c r="B206" s="96" t="s">
        <v>56</v>
      </c>
      <c r="C206" s="96" t="s">
        <v>8</v>
      </c>
      <c r="D206" s="97" t="s">
        <v>328</v>
      </c>
      <c r="E206" s="97" t="s">
        <v>329</v>
      </c>
      <c r="F206" s="97" t="s">
        <v>78</v>
      </c>
      <c r="G206" s="97" t="s">
        <v>176</v>
      </c>
      <c r="H206" s="97" t="s">
        <v>323</v>
      </c>
      <c r="I206" s="162"/>
      <c r="J206" s="162"/>
      <c r="K206" s="98">
        <v>3000</v>
      </c>
      <c r="L206" s="99">
        <v>1130.82</v>
      </c>
      <c r="M206" s="98">
        <v>3000</v>
      </c>
      <c r="N206" s="99">
        <v>1266.1500000000001</v>
      </c>
      <c r="O206" s="342">
        <v>3000</v>
      </c>
      <c r="P206" s="99">
        <v>0</v>
      </c>
      <c r="Q206" s="137">
        <v>3000</v>
      </c>
      <c r="R206" s="138">
        <v>3000</v>
      </c>
    </row>
    <row r="207" spans="1:19" s="100" customFormat="1" ht="13.5" thickBot="1">
      <c r="A207" s="95" t="s">
        <v>64</v>
      </c>
      <c r="B207" s="96" t="s">
        <v>56</v>
      </c>
      <c r="C207" s="96" t="s">
        <v>8</v>
      </c>
      <c r="D207" s="97" t="s">
        <v>328</v>
      </c>
      <c r="E207" s="97" t="s">
        <v>329</v>
      </c>
      <c r="F207" s="97" t="s">
        <v>83</v>
      </c>
      <c r="G207" s="97" t="s">
        <v>178</v>
      </c>
      <c r="H207" s="97" t="s">
        <v>323</v>
      </c>
      <c r="I207" s="162"/>
      <c r="J207" s="162"/>
      <c r="K207" s="98">
        <v>700239</v>
      </c>
      <c r="L207" s="99">
        <v>76568.820000000007</v>
      </c>
      <c r="M207" s="98">
        <v>789000</v>
      </c>
      <c r="N207" s="99">
        <v>294886.89</v>
      </c>
      <c r="O207" s="342">
        <v>735256.25</v>
      </c>
      <c r="P207" s="99">
        <v>162004.5</v>
      </c>
      <c r="Q207" s="137">
        <v>494000</v>
      </c>
      <c r="R207" s="138">
        <v>494000</v>
      </c>
      <c r="S207" s="100" t="s">
        <v>331</v>
      </c>
    </row>
    <row r="208" spans="1:19" s="100" customFormat="1" ht="13.5" thickBot="1">
      <c r="A208" s="95" t="s">
        <v>64</v>
      </c>
      <c r="B208" s="96" t="s">
        <v>56</v>
      </c>
      <c r="C208" s="96" t="s">
        <v>8</v>
      </c>
      <c r="D208" s="97" t="s">
        <v>328</v>
      </c>
      <c r="E208" s="97" t="s">
        <v>329</v>
      </c>
      <c r="F208" s="97" t="s">
        <v>86</v>
      </c>
      <c r="G208" s="97" t="s">
        <v>179</v>
      </c>
      <c r="H208" s="97" t="s">
        <v>323</v>
      </c>
      <c r="I208" s="162"/>
      <c r="J208" s="162"/>
      <c r="K208" s="98">
        <v>124600</v>
      </c>
      <c r="L208" s="99">
        <v>54552.92</v>
      </c>
      <c r="M208" s="98">
        <v>101700</v>
      </c>
      <c r="N208" s="99">
        <v>24229.4</v>
      </c>
      <c r="O208" s="342">
        <v>98200</v>
      </c>
      <c r="P208" s="99">
        <v>0</v>
      </c>
      <c r="Q208" s="137">
        <v>100200</v>
      </c>
      <c r="R208" s="138">
        <v>100200</v>
      </c>
    </row>
    <row r="209" spans="1:19" s="100" customFormat="1" ht="13.5" thickBot="1">
      <c r="A209" s="95" t="s">
        <v>64</v>
      </c>
      <c r="B209" s="96" t="s">
        <v>56</v>
      </c>
      <c r="C209" s="96" t="s">
        <v>8</v>
      </c>
      <c r="D209" s="97" t="s">
        <v>328</v>
      </c>
      <c r="E209" s="97" t="s">
        <v>329</v>
      </c>
      <c r="F209" s="97" t="s">
        <v>90</v>
      </c>
      <c r="G209" s="97" t="s">
        <v>184</v>
      </c>
      <c r="H209" s="97" t="s">
        <v>323</v>
      </c>
      <c r="I209" s="162"/>
      <c r="J209" s="162"/>
      <c r="K209" s="98">
        <v>159</v>
      </c>
      <c r="L209" s="99">
        <v>0</v>
      </c>
      <c r="M209" s="163"/>
      <c r="N209" s="164"/>
      <c r="O209" s="341"/>
      <c r="P209" s="164"/>
      <c r="Q209" s="137"/>
      <c r="R209" s="138"/>
    </row>
    <row r="210" spans="1:19" s="100" customFormat="1" ht="13.5" thickBot="1">
      <c r="A210" s="95" t="s">
        <v>64</v>
      </c>
      <c r="B210" s="96" t="s">
        <v>56</v>
      </c>
      <c r="C210" s="96" t="s">
        <v>8</v>
      </c>
      <c r="D210" s="97" t="s">
        <v>328</v>
      </c>
      <c r="E210" s="97" t="s">
        <v>329</v>
      </c>
      <c r="F210" s="97" t="s">
        <v>106</v>
      </c>
      <c r="G210" s="97" t="s">
        <v>185</v>
      </c>
      <c r="H210" s="97" t="s">
        <v>323</v>
      </c>
      <c r="I210" s="162"/>
      <c r="J210" s="162"/>
      <c r="K210" s="98">
        <v>1365426</v>
      </c>
      <c r="L210" s="99">
        <v>1457786.92</v>
      </c>
      <c r="M210" s="98">
        <v>678466</v>
      </c>
      <c r="N210" s="99">
        <v>561395.03</v>
      </c>
      <c r="O210" s="342">
        <v>832639</v>
      </c>
      <c r="P210" s="99">
        <v>566756.35</v>
      </c>
      <c r="Q210" s="137">
        <v>519751</v>
      </c>
      <c r="R210" s="138">
        <v>519751</v>
      </c>
    </row>
    <row r="211" spans="1:19" s="100" customFormat="1" ht="13.5" thickBot="1">
      <c r="A211" s="95" t="s">
        <v>64</v>
      </c>
      <c r="B211" s="96" t="s">
        <v>56</v>
      </c>
      <c r="C211" s="96" t="s">
        <v>8</v>
      </c>
      <c r="D211" s="97" t="s">
        <v>328</v>
      </c>
      <c r="E211" s="97" t="s">
        <v>329</v>
      </c>
      <c r="F211" s="97" t="s">
        <v>108</v>
      </c>
      <c r="G211" s="97" t="s">
        <v>332</v>
      </c>
      <c r="H211" s="97" t="s">
        <v>323</v>
      </c>
      <c r="I211" s="162"/>
      <c r="J211" s="162"/>
      <c r="K211" s="98">
        <v>1105716</v>
      </c>
      <c r="L211" s="99">
        <v>818287.31</v>
      </c>
      <c r="M211" s="98">
        <v>870000</v>
      </c>
      <c r="N211" s="99">
        <v>946794.54</v>
      </c>
      <c r="O211" s="342">
        <v>1042455</v>
      </c>
      <c r="P211" s="99">
        <v>765996.24</v>
      </c>
      <c r="Q211" s="137">
        <v>1491532</v>
      </c>
      <c r="R211" s="138">
        <v>1491532</v>
      </c>
    </row>
    <row r="212" spans="1:19" s="100" customFormat="1" ht="13.5" thickBot="1">
      <c r="A212" s="95" t="s">
        <v>64</v>
      </c>
      <c r="B212" s="96" t="s">
        <v>56</v>
      </c>
      <c r="C212" s="96" t="s">
        <v>8</v>
      </c>
      <c r="D212" s="97" t="s">
        <v>328</v>
      </c>
      <c r="E212" s="97" t="s">
        <v>329</v>
      </c>
      <c r="F212" s="97" t="s">
        <v>142</v>
      </c>
      <c r="G212" s="97" t="s">
        <v>187</v>
      </c>
      <c r="H212" s="97" t="s">
        <v>323</v>
      </c>
      <c r="I212" s="162"/>
      <c r="J212" s="162"/>
      <c r="K212" s="98">
        <v>7500</v>
      </c>
      <c r="L212" s="99">
        <v>6981.1</v>
      </c>
      <c r="M212" s="98">
        <v>10000</v>
      </c>
      <c r="N212" s="99">
        <v>6934.24</v>
      </c>
      <c r="O212" s="342">
        <v>50000</v>
      </c>
      <c r="P212" s="99">
        <v>0</v>
      </c>
      <c r="Q212" s="137">
        <v>15000</v>
      </c>
      <c r="R212" s="138">
        <v>15000</v>
      </c>
    </row>
    <row r="213" spans="1:19" s="100" customFormat="1" ht="13.5" thickBot="1">
      <c r="A213" s="95" t="s">
        <v>64</v>
      </c>
      <c r="B213" s="96" t="s">
        <v>56</v>
      </c>
      <c r="C213" s="96" t="s">
        <v>8</v>
      </c>
      <c r="D213" s="97" t="s">
        <v>328</v>
      </c>
      <c r="E213" s="97" t="s">
        <v>329</v>
      </c>
      <c r="F213" s="97" t="s">
        <v>259</v>
      </c>
      <c r="G213" s="97" t="s">
        <v>260</v>
      </c>
      <c r="H213" s="97" t="s">
        <v>323</v>
      </c>
      <c r="I213" s="162"/>
      <c r="J213" s="162"/>
      <c r="K213" s="163"/>
      <c r="L213" s="164"/>
      <c r="M213" s="98">
        <v>0</v>
      </c>
      <c r="N213" s="99">
        <v>0</v>
      </c>
      <c r="O213" s="341"/>
      <c r="P213" s="164"/>
      <c r="Q213" s="137"/>
      <c r="R213" s="138"/>
    </row>
    <row r="214" spans="1:19" s="100" customFormat="1" ht="13.5" thickBot="1">
      <c r="A214" s="95" t="s">
        <v>64</v>
      </c>
      <c r="B214" s="96" t="s">
        <v>56</v>
      </c>
      <c r="C214" s="96" t="s">
        <v>8</v>
      </c>
      <c r="D214" s="97" t="s">
        <v>333</v>
      </c>
      <c r="E214" s="97" t="s">
        <v>334</v>
      </c>
      <c r="F214" s="97" t="s">
        <v>72</v>
      </c>
      <c r="G214" s="97" t="s">
        <v>290</v>
      </c>
      <c r="H214" s="97" t="s">
        <v>323</v>
      </c>
      <c r="I214" s="162"/>
      <c r="J214" s="162"/>
      <c r="K214" s="98">
        <v>0</v>
      </c>
      <c r="L214" s="99">
        <v>637.53</v>
      </c>
      <c r="M214" s="98">
        <v>0</v>
      </c>
      <c r="N214" s="99">
        <v>6326.03</v>
      </c>
      <c r="O214" s="342">
        <v>0</v>
      </c>
      <c r="P214" s="99">
        <v>5681.02</v>
      </c>
      <c r="Q214" s="137"/>
      <c r="R214" s="138"/>
    </row>
    <row r="215" spans="1:19" s="100" customFormat="1" ht="13.5" thickBot="1">
      <c r="A215" s="95" t="s">
        <v>64</v>
      </c>
      <c r="B215" s="96" t="s">
        <v>56</v>
      </c>
      <c r="C215" s="96" t="s">
        <v>8</v>
      </c>
      <c r="D215" s="97" t="s">
        <v>333</v>
      </c>
      <c r="E215" s="97" t="s">
        <v>334</v>
      </c>
      <c r="F215" s="97" t="s">
        <v>72</v>
      </c>
      <c r="G215" s="97" t="s">
        <v>290</v>
      </c>
      <c r="H215" s="97" t="s">
        <v>323</v>
      </c>
      <c r="I215" s="97" t="s">
        <v>194</v>
      </c>
      <c r="J215" s="162"/>
      <c r="K215" s="98">
        <v>3000</v>
      </c>
      <c r="L215" s="99">
        <v>0</v>
      </c>
      <c r="M215" s="98">
        <v>3000</v>
      </c>
      <c r="N215" s="99">
        <v>0</v>
      </c>
      <c r="O215" s="341"/>
      <c r="P215" s="164"/>
      <c r="Q215" s="137"/>
      <c r="R215" s="138"/>
    </row>
    <row r="216" spans="1:19" s="100" customFormat="1" ht="13.5" thickBot="1">
      <c r="A216" s="95" t="s">
        <v>64</v>
      </c>
      <c r="B216" s="96" t="s">
        <v>56</v>
      </c>
      <c r="C216" s="96" t="s">
        <v>8</v>
      </c>
      <c r="D216" s="97" t="s">
        <v>333</v>
      </c>
      <c r="E216" s="97" t="s">
        <v>334</v>
      </c>
      <c r="F216" s="97" t="s">
        <v>75</v>
      </c>
      <c r="G216" s="97" t="s">
        <v>174</v>
      </c>
      <c r="H216" s="97" t="s">
        <v>323</v>
      </c>
      <c r="I216" s="162"/>
      <c r="J216" s="162"/>
      <c r="K216" s="98">
        <v>150</v>
      </c>
      <c r="L216" s="99">
        <v>110.18</v>
      </c>
      <c r="M216" s="98">
        <v>150</v>
      </c>
      <c r="N216" s="99">
        <v>122.54</v>
      </c>
      <c r="O216" s="342">
        <v>150</v>
      </c>
      <c r="P216" s="99">
        <v>0</v>
      </c>
      <c r="Q216" s="137">
        <v>150</v>
      </c>
      <c r="R216" s="138">
        <v>150</v>
      </c>
    </row>
    <row r="217" spans="1:19" s="100" customFormat="1" ht="13.5" thickBot="1">
      <c r="A217" s="95" t="s">
        <v>64</v>
      </c>
      <c r="B217" s="96" t="s">
        <v>56</v>
      </c>
      <c r="C217" s="96" t="s">
        <v>8</v>
      </c>
      <c r="D217" s="97" t="s">
        <v>333</v>
      </c>
      <c r="E217" s="97" t="s">
        <v>334</v>
      </c>
      <c r="F217" s="97" t="s">
        <v>83</v>
      </c>
      <c r="G217" s="97" t="s">
        <v>178</v>
      </c>
      <c r="H217" s="97" t="s">
        <v>323</v>
      </c>
      <c r="I217" s="162"/>
      <c r="J217" s="162"/>
      <c r="K217" s="98">
        <v>637090</v>
      </c>
      <c r="L217" s="99">
        <v>422398.33</v>
      </c>
      <c r="M217" s="98">
        <v>532061</v>
      </c>
      <c r="N217" s="99">
        <v>317905.84999999998</v>
      </c>
      <c r="O217" s="342">
        <v>533775.75</v>
      </c>
      <c r="P217" s="99">
        <v>296739.65999999997</v>
      </c>
      <c r="Q217" s="137">
        <v>363000</v>
      </c>
      <c r="R217" s="138">
        <v>363000</v>
      </c>
      <c r="S217" s="321" t="s">
        <v>331</v>
      </c>
    </row>
    <row r="218" spans="1:19" s="100" customFormat="1" ht="13.5" thickBot="1">
      <c r="A218" s="95" t="s">
        <v>64</v>
      </c>
      <c r="B218" s="96" t="s">
        <v>56</v>
      </c>
      <c r="C218" s="96" t="s">
        <v>8</v>
      </c>
      <c r="D218" s="97" t="s">
        <v>333</v>
      </c>
      <c r="E218" s="97" t="s">
        <v>334</v>
      </c>
      <c r="F218" s="97" t="s">
        <v>86</v>
      </c>
      <c r="G218" s="97" t="s">
        <v>179</v>
      </c>
      <c r="H218" s="97" t="s">
        <v>323</v>
      </c>
      <c r="I218" s="162"/>
      <c r="J218" s="162"/>
      <c r="K218" s="98">
        <v>33600</v>
      </c>
      <c r="L218" s="99">
        <v>26117.1</v>
      </c>
      <c r="M218" s="98">
        <v>33600</v>
      </c>
      <c r="N218" s="99">
        <v>12899.02</v>
      </c>
      <c r="O218" s="342">
        <v>33600</v>
      </c>
      <c r="P218" s="99">
        <v>59.8</v>
      </c>
      <c r="Q218" s="137">
        <v>20600</v>
      </c>
      <c r="R218" s="138">
        <v>20600</v>
      </c>
    </row>
    <row r="219" spans="1:19" s="100" customFormat="1" ht="13.5" thickBot="1">
      <c r="A219" s="95" t="s">
        <v>64</v>
      </c>
      <c r="B219" s="96" t="s">
        <v>56</v>
      </c>
      <c r="C219" s="96" t="s">
        <v>8</v>
      </c>
      <c r="D219" s="97" t="s">
        <v>333</v>
      </c>
      <c r="E219" s="97" t="s">
        <v>334</v>
      </c>
      <c r="F219" s="97" t="s">
        <v>90</v>
      </c>
      <c r="G219" s="97" t="s">
        <v>184</v>
      </c>
      <c r="H219" s="97" t="s">
        <v>323</v>
      </c>
      <c r="I219" s="162"/>
      <c r="J219" s="162"/>
      <c r="K219" s="98">
        <v>29190</v>
      </c>
      <c r="L219" s="99">
        <v>29190</v>
      </c>
      <c r="M219" s="98">
        <v>29190</v>
      </c>
      <c r="N219" s="99">
        <v>32733</v>
      </c>
      <c r="O219" s="342">
        <v>36277</v>
      </c>
      <c r="P219" s="99">
        <v>36277</v>
      </c>
      <c r="Q219" s="137">
        <v>40000</v>
      </c>
      <c r="R219" s="138">
        <v>40000</v>
      </c>
    </row>
    <row r="220" spans="1:19" s="100" customFormat="1" ht="13.5" thickBot="1">
      <c r="A220" s="95" t="s">
        <v>64</v>
      </c>
      <c r="B220" s="96" t="s">
        <v>56</v>
      </c>
      <c r="C220" s="96" t="s">
        <v>8</v>
      </c>
      <c r="D220" s="97" t="s">
        <v>333</v>
      </c>
      <c r="E220" s="97" t="s">
        <v>334</v>
      </c>
      <c r="F220" s="97" t="s">
        <v>104</v>
      </c>
      <c r="G220" s="97" t="s">
        <v>335</v>
      </c>
      <c r="H220" s="97" t="s">
        <v>323</v>
      </c>
      <c r="I220" s="162"/>
      <c r="J220" s="162"/>
      <c r="K220" s="98">
        <v>9000</v>
      </c>
      <c r="L220" s="99">
        <v>8852</v>
      </c>
      <c r="M220" s="98">
        <v>9000</v>
      </c>
      <c r="N220" s="99">
        <v>9029</v>
      </c>
      <c r="O220" s="342">
        <v>10010</v>
      </c>
      <c r="P220" s="99">
        <v>0</v>
      </c>
      <c r="Q220" s="137"/>
      <c r="R220" s="138"/>
    </row>
    <row r="221" spans="1:19" s="100" customFormat="1" ht="13.5" thickBot="1">
      <c r="A221" s="95" t="s">
        <v>64</v>
      </c>
      <c r="B221" s="96" t="s">
        <v>56</v>
      </c>
      <c r="C221" s="96" t="s">
        <v>8</v>
      </c>
      <c r="D221" s="97" t="s">
        <v>333</v>
      </c>
      <c r="E221" s="97" t="s">
        <v>334</v>
      </c>
      <c r="F221" s="97" t="s">
        <v>106</v>
      </c>
      <c r="G221" s="97" t="s">
        <v>185</v>
      </c>
      <c r="H221" s="97" t="s">
        <v>323</v>
      </c>
      <c r="I221" s="162"/>
      <c r="J221" s="162"/>
      <c r="K221" s="98">
        <v>137525</v>
      </c>
      <c r="L221" s="99">
        <v>137153.44</v>
      </c>
      <c r="M221" s="98">
        <v>139000</v>
      </c>
      <c r="N221" s="99">
        <v>136320.73000000001</v>
      </c>
      <c r="O221" s="342">
        <v>191514</v>
      </c>
      <c r="P221" s="99">
        <v>164186.78</v>
      </c>
      <c r="Q221" s="137">
        <v>205377</v>
      </c>
      <c r="R221" s="138">
        <v>205377</v>
      </c>
    </row>
    <row r="222" spans="1:19" s="100" customFormat="1" ht="13.5" thickBot="1">
      <c r="A222" s="95" t="s">
        <v>64</v>
      </c>
      <c r="B222" s="96" t="s">
        <v>56</v>
      </c>
      <c r="C222" s="96" t="s">
        <v>8</v>
      </c>
      <c r="D222" s="97" t="s">
        <v>333</v>
      </c>
      <c r="E222" s="97" t="s">
        <v>334</v>
      </c>
      <c r="F222" s="97" t="s">
        <v>108</v>
      </c>
      <c r="G222" s="97" t="s">
        <v>332</v>
      </c>
      <c r="H222" s="97" t="s">
        <v>323</v>
      </c>
      <c r="I222" s="162"/>
      <c r="J222" s="162"/>
      <c r="K222" s="98">
        <v>30000</v>
      </c>
      <c r="L222" s="99">
        <v>57598.95</v>
      </c>
      <c r="M222" s="98">
        <v>30000</v>
      </c>
      <c r="N222" s="99">
        <v>168413.24</v>
      </c>
      <c r="O222" s="342">
        <v>235000</v>
      </c>
      <c r="P222" s="99">
        <v>43208.6</v>
      </c>
      <c r="Q222" s="137">
        <v>220000</v>
      </c>
      <c r="R222" s="138">
        <v>220000</v>
      </c>
    </row>
    <row r="223" spans="1:19" s="100" customFormat="1" ht="13.5" thickBot="1">
      <c r="A223" s="95" t="s">
        <v>64</v>
      </c>
      <c r="B223" s="96" t="s">
        <v>56</v>
      </c>
      <c r="C223" s="96" t="s">
        <v>8</v>
      </c>
      <c r="D223" s="97" t="s">
        <v>333</v>
      </c>
      <c r="E223" s="97" t="s">
        <v>334</v>
      </c>
      <c r="F223" s="97" t="s">
        <v>113</v>
      </c>
      <c r="G223" s="97" t="s">
        <v>326</v>
      </c>
      <c r="H223" s="97" t="s">
        <v>323</v>
      </c>
      <c r="I223" s="162"/>
      <c r="J223" s="162"/>
      <c r="K223" s="98">
        <v>4500</v>
      </c>
      <c r="L223" s="99">
        <v>-7949.77</v>
      </c>
      <c r="M223" s="98">
        <v>0</v>
      </c>
      <c r="N223" s="99">
        <v>0</v>
      </c>
      <c r="O223" s="341"/>
      <c r="P223" s="164"/>
      <c r="Q223" s="137"/>
      <c r="R223" s="138"/>
    </row>
    <row r="224" spans="1:19" s="100" customFormat="1" ht="13.5" thickBot="1">
      <c r="A224" s="95" t="s">
        <v>64</v>
      </c>
      <c r="B224" s="96" t="s">
        <v>56</v>
      </c>
      <c r="C224" s="96" t="s">
        <v>8</v>
      </c>
      <c r="D224" s="97" t="s">
        <v>333</v>
      </c>
      <c r="E224" s="97" t="s">
        <v>334</v>
      </c>
      <c r="F224" s="97" t="s">
        <v>114</v>
      </c>
      <c r="G224" s="97" t="s">
        <v>242</v>
      </c>
      <c r="H224" s="97" t="s">
        <v>323</v>
      </c>
      <c r="I224" s="162"/>
      <c r="J224" s="162"/>
      <c r="K224" s="98">
        <v>15516</v>
      </c>
      <c r="L224" s="99">
        <v>15736.47</v>
      </c>
      <c r="M224" s="98">
        <v>15000</v>
      </c>
      <c r="N224" s="99">
        <v>14249.25</v>
      </c>
      <c r="O224" s="342">
        <v>17678</v>
      </c>
      <c r="P224" s="99">
        <v>12254</v>
      </c>
      <c r="Q224" s="137">
        <v>17000</v>
      </c>
      <c r="R224" s="138">
        <v>17000</v>
      </c>
    </row>
    <row r="225" spans="1:19" s="100" customFormat="1" ht="13.5" thickBot="1">
      <c r="A225" s="95" t="s">
        <v>64</v>
      </c>
      <c r="B225" s="96" t="s">
        <v>56</v>
      </c>
      <c r="C225" s="96" t="s">
        <v>8</v>
      </c>
      <c r="D225" s="97" t="s">
        <v>333</v>
      </c>
      <c r="E225" s="97" t="s">
        <v>334</v>
      </c>
      <c r="F225" s="97" t="s">
        <v>116</v>
      </c>
      <c r="G225" s="97" t="s">
        <v>243</v>
      </c>
      <c r="H225" s="97" t="s">
        <v>323</v>
      </c>
      <c r="I225" s="162"/>
      <c r="J225" s="162"/>
      <c r="K225" s="98">
        <v>11718</v>
      </c>
      <c r="L225" s="99">
        <v>11717.64</v>
      </c>
      <c r="M225" s="98">
        <v>11718</v>
      </c>
      <c r="N225" s="99">
        <v>11717.64</v>
      </c>
      <c r="O225" s="342">
        <v>11718</v>
      </c>
      <c r="P225" s="99">
        <v>0</v>
      </c>
      <c r="Q225" s="137">
        <v>9600</v>
      </c>
      <c r="R225" s="138">
        <v>9600</v>
      </c>
    </row>
    <row r="226" spans="1:19" s="100" customFormat="1" ht="13.5" thickBot="1">
      <c r="A226" s="95" t="s">
        <v>64</v>
      </c>
      <c r="B226" s="96" t="s">
        <v>56</v>
      </c>
      <c r="C226" s="96" t="s">
        <v>8</v>
      </c>
      <c r="D226" s="97" t="s">
        <v>333</v>
      </c>
      <c r="E226" s="97" t="s">
        <v>334</v>
      </c>
      <c r="F226" s="97" t="s">
        <v>119</v>
      </c>
      <c r="G226" s="97" t="s">
        <v>244</v>
      </c>
      <c r="H226" s="97" t="s">
        <v>323</v>
      </c>
      <c r="I226" s="162"/>
      <c r="J226" s="162"/>
      <c r="K226" s="98">
        <v>500</v>
      </c>
      <c r="L226" s="99">
        <v>0</v>
      </c>
      <c r="M226" s="98">
        <v>500</v>
      </c>
      <c r="N226" s="99">
        <v>0</v>
      </c>
      <c r="O226" s="342">
        <v>500</v>
      </c>
      <c r="P226" s="99">
        <v>0</v>
      </c>
      <c r="Q226" s="137">
        <v>500</v>
      </c>
      <c r="R226" s="138">
        <v>500</v>
      </c>
    </row>
    <row r="227" spans="1:19" s="100" customFormat="1" ht="13.5" thickBot="1">
      <c r="A227" s="95" t="s">
        <v>64</v>
      </c>
      <c r="B227" s="96" t="s">
        <v>56</v>
      </c>
      <c r="C227" s="96" t="s">
        <v>8</v>
      </c>
      <c r="D227" s="97" t="s">
        <v>333</v>
      </c>
      <c r="E227" s="97" t="s">
        <v>334</v>
      </c>
      <c r="F227" s="97" t="s">
        <v>131</v>
      </c>
      <c r="G227" s="97" t="s">
        <v>206</v>
      </c>
      <c r="H227" s="97" t="s">
        <v>323</v>
      </c>
      <c r="I227" s="162"/>
      <c r="J227" s="162"/>
      <c r="K227" s="98">
        <v>5000</v>
      </c>
      <c r="L227" s="99">
        <v>0</v>
      </c>
      <c r="M227" s="98">
        <v>5000</v>
      </c>
      <c r="N227" s="99">
        <v>0</v>
      </c>
      <c r="O227" s="342">
        <v>5000</v>
      </c>
      <c r="P227" s="99">
        <v>0</v>
      </c>
      <c r="Q227" s="137">
        <v>5000</v>
      </c>
      <c r="R227" s="138">
        <v>5000</v>
      </c>
    </row>
    <row r="228" spans="1:19" s="100" customFormat="1" ht="13.5" thickBot="1">
      <c r="A228" s="95" t="s">
        <v>64</v>
      </c>
      <c r="B228" s="96" t="s">
        <v>56</v>
      </c>
      <c r="C228" s="96" t="s">
        <v>8</v>
      </c>
      <c r="D228" s="97" t="s">
        <v>333</v>
      </c>
      <c r="E228" s="97" t="s">
        <v>334</v>
      </c>
      <c r="F228" s="97" t="s">
        <v>135</v>
      </c>
      <c r="G228" s="97" t="s">
        <v>253</v>
      </c>
      <c r="H228" s="97" t="s">
        <v>323</v>
      </c>
      <c r="I228" s="162"/>
      <c r="J228" s="162"/>
      <c r="K228" s="98">
        <v>500</v>
      </c>
      <c r="L228" s="99">
        <v>0</v>
      </c>
      <c r="M228" s="98">
        <v>500</v>
      </c>
      <c r="N228" s="99">
        <v>791</v>
      </c>
      <c r="O228" s="342">
        <v>500</v>
      </c>
      <c r="P228" s="99">
        <v>0</v>
      </c>
      <c r="Q228" s="137">
        <v>500</v>
      </c>
      <c r="R228" s="138">
        <v>500</v>
      </c>
    </row>
    <row r="229" spans="1:19" s="100" customFormat="1" ht="13.5" thickBot="1">
      <c r="A229" s="95" t="s">
        <v>64</v>
      </c>
      <c r="B229" s="96" t="s">
        <v>56</v>
      </c>
      <c r="C229" s="96" t="s">
        <v>8</v>
      </c>
      <c r="D229" s="97" t="s">
        <v>333</v>
      </c>
      <c r="E229" s="97" t="s">
        <v>334</v>
      </c>
      <c r="F229" s="97" t="s">
        <v>142</v>
      </c>
      <c r="G229" s="97" t="s">
        <v>187</v>
      </c>
      <c r="H229" s="97" t="s">
        <v>323</v>
      </c>
      <c r="I229" s="162"/>
      <c r="J229" s="162"/>
      <c r="K229" s="98">
        <v>0</v>
      </c>
      <c r="L229" s="99">
        <v>15535.63</v>
      </c>
      <c r="M229" s="163"/>
      <c r="N229" s="164"/>
      <c r="O229" s="341"/>
      <c r="P229" s="164"/>
      <c r="Q229" s="137"/>
      <c r="R229" s="138"/>
    </row>
    <row r="230" spans="1:19" s="100" customFormat="1" ht="13.5" thickBot="1">
      <c r="A230" s="95" t="s">
        <v>64</v>
      </c>
      <c r="B230" s="96" t="s">
        <v>56</v>
      </c>
      <c r="C230" s="96" t="s">
        <v>8</v>
      </c>
      <c r="D230" s="97" t="s">
        <v>333</v>
      </c>
      <c r="E230" s="97" t="s">
        <v>334</v>
      </c>
      <c r="F230" s="97" t="s">
        <v>143</v>
      </c>
      <c r="G230" s="97" t="s">
        <v>207</v>
      </c>
      <c r="H230" s="97" t="s">
        <v>323</v>
      </c>
      <c r="I230" s="162"/>
      <c r="J230" s="162"/>
      <c r="K230" s="98">
        <v>16100</v>
      </c>
      <c r="L230" s="99">
        <v>0</v>
      </c>
      <c r="M230" s="163"/>
      <c r="N230" s="164"/>
      <c r="O230" s="341"/>
      <c r="P230" s="164"/>
      <c r="Q230" s="137"/>
      <c r="R230" s="138"/>
    </row>
    <row r="231" spans="1:19" s="100" customFormat="1" ht="13.5" thickBot="1">
      <c r="A231" s="95" t="s">
        <v>64</v>
      </c>
      <c r="B231" s="96" t="s">
        <v>56</v>
      </c>
      <c r="C231" s="96" t="s">
        <v>8</v>
      </c>
      <c r="D231" s="97" t="s">
        <v>336</v>
      </c>
      <c r="E231" s="97" t="s">
        <v>337</v>
      </c>
      <c r="F231" s="97" t="s">
        <v>75</v>
      </c>
      <c r="G231" s="97" t="s">
        <v>174</v>
      </c>
      <c r="H231" s="97" t="s">
        <v>323</v>
      </c>
      <c r="I231" s="162"/>
      <c r="J231" s="162"/>
      <c r="K231" s="98">
        <v>100</v>
      </c>
      <c r="L231" s="99">
        <v>15.44</v>
      </c>
      <c r="M231" s="98">
        <v>100</v>
      </c>
      <c r="N231" s="99">
        <v>73.77</v>
      </c>
      <c r="O231" s="342">
        <v>150</v>
      </c>
      <c r="P231" s="99">
        <v>0</v>
      </c>
      <c r="Q231" s="137">
        <v>150</v>
      </c>
      <c r="R231" s="138">
        <v>150</v>
      </c>
    </row>
    <row r="232" spans="1:19" s="100" customFormat="1" ht="13.5" thickBot="1">
      <c r="A232" s="95" t="s">
        <v>64</v>
      </c>
      <c r="B232" s="96" t="s">
        <v>56</v>
      </c>
      <c r="C232" s="96" t="s">
        <v>8</v>
      </c>
      <c r="D232" s="97" t="s">
        <v>336</v>
      </c>
      <c r="E232" s="97" t="s">
        <v>337</v>
      </c>
      <c r="F232" s="97" t="s">
        <v>78</v>
      </c>
      <c r="G232" s="97" t="s">
        <v>176</v>
      </c>
      <c r="H232" s="97" t="s">
        <v>323</v>
      </c>
      <c r="I232" s="162"/>
      <c r="J232" s="162"/>
      <c r="K232" s="98">
        <v>13650</v>
      </c>
      <c r="L232" s="99">
        <v>13705.32</v>
      </c>
      <c r="M232" s="98">
        <v>11722</v>
      </c>
      <c r="N232" s="99">
        <v>15319.74</v>
      </c>
      <c r="O232" s="342">
        <v>12000</v>
      </c>
      <c r="P232" s="99">
        <v>1473.81</v>
      </c>
      <c r="Q232" s="137">
        <v>14000</v>
      </c>
      <c r="R232" s="138">
        <v>14000</v>
      </c>
    </row>
    <row r="233" spans="1:19" s="100" customFormat="1" ht="13.5" thickBot="1">
      <c r="A233" s="95" t="s">
        <v>64</v>
      </c>
      <c r="B233" s="96" t="s">
        <v>56</v>
      </c>
      <c r="C233" s="96" t="s">
        <v>8</v>
      </c>
      <c r="D233" s="97" t="s">
        <v>336</v>
      </c>
      <c r="E233" s="97" t="s">
        <v>337</v>
      </c>
      <c r="F233" s="97" t="s">
        <v>83</v>
      </c>
      <c r="G233" s="97" t="s">
        <v>178</v>
      </c>
      <c r="H233" s="97" t="s">
        <v>323</v>
      </c>
      <c r="I233" s="162"/>
      <c r="J233" s="162"/>
      <c r="K233" s="98">
        <v>20000</v>
      </c>
      <c r="L233" s="99">
        <v>10000</v>
      </c>
      <c r="M233" s="98">
        <v>30000</v>
      </c>
      <c r="N233" s="99">
        <v>0</v>
      </c>
      <c r="O233" s="342">
        <v>220000</v>
      </c>
      <c r="P233" s="99">
        <v>0</v>
      </c>
      <c r="Q233" s="137">
        <v>120000</v>
      </c>
      <c r="R233" s="138">
        <v>120000</v>
      </c>
      <c r="S233" s="321" t="s">
        <v>331</v>
      </c>
    </row>
    <row r="234" spans="1:19" s="100" customFormat="1" ht="13.5" thickBot="1">
      <c r="A234" s="95" t="s">
        <v>64</v>
      </c>
      <c r="B234" s="96" t="s">
        <v>56</v>
      </c>
      <c r="C234" s="96" t="s">
        <v>8</v>
      </c>
      <c r="D234" s="97" t="s">
        <v>336</v>
      </c>
      <c r="E234" s="97" t="s">
        <v>337</v>
      </c>
      <c r="F234" s="97" t="s">
        <v>90</v>
      </c>
      <c r="G234" s="97" t="s">
        <v>184</v>
      </c>
      <c r="H234" s="97" t="s">
        <v>323</v>
      </c>
      <c r="I234" s="162"/>
      <c r="J234" s="162"/>
      <c r="K234" s="98">
        <v>1400</v>
      </c>
      <c r="L234" s="99">
        <v>1230.92</v>
      </c>
      <c r="M234" s="98">
        <v>1400</v>
      </c>
      <c r="N234" s="99">
        <v>659.85</v>
      </c>
      <c r="O234" s="342">
        <v>1610</v>
      </c>
      <c r="P234" s="99">
        <v>308</v>
      </c>
      <c r="Q234" s="137">
        <v>1000</v>
      </c>
      <c r="R234" s="138">
        <v>1000</v>
      </c>
    </row>
    <row r="235" spans="1:19" s="100" customFormat="1" ht="13.5" thickBot="1">
      <c r="A235" s="95" t="s">
        <v>64</v>
      </c>
      <c r="B235" s="96" t="s">
        <v>56</v>
      </c>
      <c r="C235" s="96" t="s">
        <v>8</v>
      </c>
      <c r="D235" s="97" t="s">
        <v>336</v>
      </c>
      <c r="E235" s="97" t="s">
        <v>337</v>
      </c>
      <c r="F235" s="97" t="s">
        <v>101</v>
      </c>
      <c r="G235" s="97" t="s">
        <v>338</v>
      </c>
      <c r="H235" s="97" t="s">
        <v>323</v>
      </c>
      <c r="I235" s="162"/>
      <c r="J235" s="162"/>
      <c r="K235" s="98">
        <v>14899</v>
      </c>
      <c r="L235" s="99">
        <v>13317.89</v>
      </c>
      <c r="M235" s="98">
        <v>15000</v>
      </c>
      <c r="N235" s="99">
        <v>16989.37</v>
      </c>
      <c r="O235" s="342">
        <v>17000</v>
      </c>
      <c r="P235" s="99">
        <v>8480.9699999999993</v>
      </c>
      <c r="Q235" s="137">
        <v>17000</v>
      </c>
      <c r="R235" s="138">
        <v>17000</v>
      </c>
    </row>
    <row r="236" spans="1:19" s="100" customFormat="1" ht="13.5" thickBot="1">
      <c r="A236" s="95" t="s">
        <v>64</v>
      </c>
      <c r="B236" s="96" t="s">
        <v>56</v>
      </c>
      <c r="C236" s="96" t="s">
        <v>8</v>
      </c>
      <c r="D236" s="97" t="s">
        <v>336</v>
      </c>
      <c r="E236" s="97" t="s">
        <v>337</v>
      </c>
      <c r="F236" s="97" t="s">
        <v>102</v>
      </c>
      <c r="G236" s="97" t="s">
        <v>225</v>
      </c>
      <c r="H236" s="97" t="s">
        <v>323</v>
      </c>
      <c r="I236" s="162"/>
      <c r="J236" s="162"/>
      <c r="K236" s="98">
        <v>122820</v>
      </c>
      <c r="L236" s="99">
        <v>107961.29</v>
      </c>
      <c r="M236" s="98">
        <v>122628</v>
      </c>
      <c r="N236" s="99">
        <v>106511.98</v>
      </c>
      <c r="O236" s="342">
        <v>177870</v>
      </c>
      <c r="P236" s="99">
        <v>45596.4</v>
      </c>
      <c r="Q236" s="137">
        <v>202770</v>
      </c>
      <c r="R236" s="138">
        <v>202770</v>
      </c>
    </row>
    <row r="237" spans="1:19" s="100" customFormat="1" ht="13.5" thickBot="1">
      <c r="A237" s="95" t="s">
        <v>64</v>
      </c>
      <c r="B237" s="96" t="s">
        <v>56</v>
      </c>
      <c r="C237" s="96" t="s">
        <v>8</v>
      </c>
      <c r="D237" s="97" t="s">
        <v>336</v>
      </c>
      <c r="E237" s="97" t="s">
        <v>337</v>
      </c>
      <c r="F237" s="97" t="s">
        <v>106</v>
      </c>
      <c r="G237" s="97" t="s">
        <v>185</v>
      </c>
      <c r="H237" s="97" t="s">
        <v>323</v>
      </c>
      <c r="I237" s="162"/>
      <c r="J237" s="162"/>
      <c r="K237" s="98">
        <v>570690</v>
      </c>
      <c r="L237" s="99">
        <v>474171.66</v>
      </c>
      <c r="M237" s="98">
        <v>628066</v>
      </c>
      <c r="N237" s="99">
        <v>409785.67</v>
      </c>
      <c r="O237" s="342">
        <v>571002</v>
      </c>
      <c r="P237" s="99">
        <v>377573.3</v>
      </c>
      <c r="Q237" s="137">
        <v>618785</v>
      </c>
      <c r="R237" s="138">
        <v>618785</v>
      </c>
    </row>
    <row r="238" spans="1:19" s="100" customFormat="1" ht="13.5" thickBot="1">
      <c r="A238" s="95" t="s">
        <v>64</v>
      </c>
      <c r="B238" s="96" t="s">
        <v>56</v>
      </c>
      <c r="C238" s="96" t="s">
        <v>8</v>
      </c>
      <c r="D238" s="97" t="s">
        <v>336</v>
      </c>
      <c r="E238" s="97" t="s">
        <v>337</v>
      </c>
      <c r="F238" s="97" t="s">
        <v>106</v>
      </c>
      <c r="G238" s="97" t="s">
        <v>185</v>
      </c>
      <c r="H238" s="97" t="s">
        <v>175</v>
      </c>
      <c r="I238" s="162"/>
      <c r="J238" s="162"/>
      <c r="K238" s="163"/>
      <c r="L238" s="164"/>
      <c r="M238" s="98">
        <v>0</v>
      </c>
      <c r="N238" s="99">
        <v>0</v>
      </c>
      <c r="O238" s="341"/>
      <c r="P238" s="164"/>
      <c r="Q238" s="137"/>
      <c r="R238" s="138"/>
    </row>
    <row r="239" spans="1:19" s="100" customFormat="1" ht="13.5" thickBot="1">
      <c r="A239" s="95" t="s">
        <v>64</v>
      </c>
      <c r="B239" s="96" t="s">
        <v>56</v>
      </c>
      <c r="C239" s="96" t="s">
        <v>8</v>
      </c>
      <c r="D239" s="97" t="s">
        <v>336</v>
      </c>
      <c r="E239" s="97" t="s">
        <v>337</v>
      </c>
      <c r="F239" s="97" t="s">
        <v>113</v>
      </c>
      <c r="G239" s="97" t="s">
        <v>326</v>
      </c>
      <c r="H239" s="97" t="s">
        <v>323</v>
      </c>
      <c r="I239" s="162"/>
      <c r="J239" s="162"/>
      <c r="K239" s="98">
        <v>237755</v>
      </c>
      <c r="L239" s="99">
        <v>171546.79</v>
      </c>
      <c r="M239" s="98">
        <v>235000</v>
      </c>
      <c r="N239" s="99">
        <v>214486.67</v>
      </c>
      <c r="O239" s="342">
        <v>308698</v>
      </c>
      <c r="P239" s="99">
        <v>144992.39000000001</v>
      </c>
      <c r="Q239" s="137">
        <v>292880</v>
      </c>
      <c r="R239" s="138">
        <v>292880</v>
      </c>
    </row>
    <row r="240" spans="1:19" s="100" customFormat="1" ht="13.5" thickBot="1">
      <c r="A240" s="95" t="s">
        <v>64</v>
      </c>
      <c r="B240" s="96" t="s">
        <v>56</v>
      </c>
      <c r="C240" s="96" t="s">
        <v>8</v>
      </c>
      <c r="D240" s="97" t="s">
        <v>336</v>
      </c>
      <c r="E240" s="97" t="s">
        <v>337</v>
      </c>
      <c r="F240" s="97" t="s">
        <v>114</v>
      </c>
      <c r="G240" s="97" t="s">
        <v>242</v>
      </c>
      <c r="H240" s="97" t="s">
        <v>323</v>
      </c>
      <c r="I240" s="162"/>
      <c r="J240" s="162"/>
      <c r="K240" s="163"/>
      <c r="L240" s="164"/>
      <c r="M240" s="98">
        <v>278</v>
      </c>
      <c r="N240" s="99">
        <v>34.67</v>
      </c>
      <c r="O240" s="342">
        <v>0</v>
      </c>
      <c r="P240" s="99">
        <v>1.07</v>
      </c>
      <c r="Q240" s="137"/>
      <c r="R240" s="138"/>
    </row>
    <row r="241" spans="1:19" s="100" customFormat="1" ht="13.5" thickBot="1">
      <c r="A241" s="95" t="s">
        <v>64</v>
      </c>
      <c r="B241" s="96" t="s">
        <v>56</v>
      </c>
      <c r="C241" s="96" t="s">
        <v>8</v>
      </c>
      <c r="D241" s="97" t="s">
        <v>336</v>
      </c>
      <c r="E241" s="97" t="s">
        <v>337</v>
      </c>
      <c r="F241" s="97" t="s">
        <v>115</v>
      </c>
      <c r="G241" s="97" t="s">
        <v>284</v>
      </c>
      <c r="H241" s="97" t="s">
        <v>323</v>
      </c>
      <c r="I241" s="162"/>
      <c r="J241" s="162"/>
      <c r="K241" s="163"/>
      <c r="L241" s="164"/>
      <c r="M241" s="98">
        <v>0</v>
      </c>
      <c r="N241" s="99">
        <v>1156.3599999999999</v>
      </c>
      <c r="O241" s="341"/>
      <c r="P241" s="164"/>
      <c r="Q241" s="137"/>
      <c r="R241" s="138"/>
    </row>
    <row r="242" spans="1:19" s="100" customFormat="1" ht="13.5" thickBot="1">
      <c r="A242" s="95" t="s">
        <v>64</v>
      </c>
      <c r="B242" s="96" t="s">
        <v>56</v>
      </c>
      <c r="C242" s="96" t="s">
        <v>8</v>
      </c>
      <c r="D242" s="97" t="s">
        <v>336</v>
      </c>
      <c r="E242" s="97" t="s">
        <v>337</v>
      </c>
      <c r="F242" s="97" t="s">
        <v>125</v>
      </c>
      <c r="G242" s="97" t="s">
        <v>214</v>
      </c>
      <c r="H242" s="97" t="s">
        <v>323</v>
      </c>
      <c r="I242" s="162"/>
      <c r="J242" s="162"/>
      <c r="K242" s="163"/>
      <c r="L242" s="164"/>
      <c r="M242" s="163"/>
      <c r="N242" s="164"/>
      <c r="O242" s="342">
        <v>0</v>
      </c>
      <c r="P242" s="99">
        <v>178.73</v>
      </c>
      <c r="Q242" s="137"/>
      <c r="R242" s="138"/>
    </row>
    <row r="243" spans="1:19" s="100" customFormat="1" ht="13.5" thickBot="1">
      <c r="A243" s="95" t="s">
        <v>64</v>
      </c>
      <c r="B243" s="96" t="s">
        <v>56</v>
      </c>
      <c r="C243" s="96" t="s">
        <v>8</v>
      </c>
      <c r="D243" s="97" t="s">
        <v>336</v>
      </c>
      <c r="E243" s="97" t="s">
        <v>337</v>
      </c>
      <c r="F243" s="97" t="s">
        <v>140</v>
      </c>
      <c r="G243" s="97" t="s">
        <v>339</v>
      </c>
      <c r="H243" s="97" t="s">
        <v>323</v>
      </c>
      <c r="I243" s="162"/>
      <c r="J243" s="162"/>
      <c r="K243" s="98">
        <v>168854</v>
      </c>
      <c r="L243" s="99">
        <v>139900.65</v>
      </c>
      <c r="M243" s="98">
        <v>64667</v>
      </c>
      <c r="N243" s="99">
        <v>28953.67</v>
      </c>
      <c r="O243" s="341"/>
      <c r="P243" s="164"/>
      <c r="Q243" s="137"/>
      <c r="R243" s="138"/>
    </row>
    <row r="244" spans="1:19" s="100" customFormat="1" ht="13.5" thickBot="1">
      <c r="A244" s="95" t="s">
        <v>64</v>
      </c>
      <c r="B244" s="96" t="s">
        <v>56</v>
      </c>
      <c r="C244" s="96" t="s">
        <v>8</v>
      </c>
      <c r="D244" s="97" t="s">
        <v>336</v>
      </c>
      <c r="E244" s="97" t="s">
        <v>337</v>
      </c>
      <c r="F244" s="97" t="s">
        <v>142</v>
      </c>
      <c r="G244" s="97" t="s">
        <v>187</v>
      </c>
      <c r="H244" s="97" t="s">
        <v>323</v>
      </c>
      <c r="I244" s="162"/>
      <c r="J244" s="162"/>
      <c r="K244" s="98">
        <v>75600</v>
      </c>
      <c r="L244" s="99">
        <v>138658.67000000001</v>
      </c>
      <c r="M244" s="98">
        <v>61000</v>
      </c>
      <c r="N244" s="99">
        <v>243926.36</v>
      </c>
      <c r="O244" s="342">
        <v>51900</v>
      </c>
      <c r="P244" s="99">
        <v>36719.32</v>
      </c>
      <c r="Q244" s="137">
        <v>109500</v>
      </c>
      <c r="R244" s="138">
        <v>109500</v>
      </c>
      <c r="S244" s="100" t="s">
        <v>340</v>
      </c>
    </row>
    <row r="245" spans="1:19" s="100" customFormat="1" ht="13.5" thickBot="1">
      <c r="A245" s="95" t="s">
        <v>64</v>
      </c>
      <c r="B245" s="96" t="s">
        <v>56</v>
      </c>
      <c r="C245" s="96" t="s">
        <v>8</v>
      </c>
      <c r="D245" s="97" t="s">
        <v>336</v>
      </c>
      <c r="E245" s="97" t="s">
        <v>337</v>
      </c>
      <c r="F245" s="97" t="s">
        <v>143</v>
      </c>
      <c r="G245" s="97" t="s">
        <v>207</v>
      </c>
      <c r="H245" s="97" t="s">
        <v>323</v>
      </c>
      <c r="I245" s="162"/>
      <c r="J245" s="162"/>
      <c r="K245" s="98">
        <v>334160</v>
      </c>
      <c r="L245" s="99">
        <v>185581.34</v>
      </c>
      <c r="M245" s="98">
        <v>350000</v>
      </c>
      <c r="N245" s="99">
        <v>182500.81</v>
      </c>
      <c r="O245" s="342">
        <v>683500</v>
      </c>
      <c r="P245" s="99">
        <v>63129.4</v>
      </c>
      <c r="Q245" s="137">
        <v>647000</v>
      </c>
      <c r="R245" s="138">
        <v>647000</v>
      </c>
    </row>
    <row r="246" spans="1:19" s="100" customFormat="1" ht="13.5" thickBot="1">
      <c r="A246" s="95" t="s">
        <v>64</v>
      </c>
      <c r="B246" s="96" t="s">
        <v>56</v>
      </c>
      <c r="C246" s="96" t="s">
        <v>8</v>
      </c>
      <c r="D246" s="97" t="s">
        <v>336</v>
      </c>
      <c r="E246" s="97" t="s">
        <v>337</v>
      </c>
      <c r="F246" s="97" t="s">
        <v>149</v>
      </c>
      <c r="G246" s="97" t="s">
        <v>341</v>
      </c>
      <c r="H246" s="97" t="s">
        <v>323</v>
      </c>
      <c r="I246" s="162"/>
      <c r="J246" s="162"/>
      <c r="K246" s="101">
        <v>0</v>
      </c>
      <c r="L246" s="102">
        <v>-330</v>
      </c>
      <c r="M246" s="166"/>
      <c r="N246" s="167"/>
      <c r="O246" s="344"/>
      <c r="P246" s="167"/>
      <c r="Q246" s="139"/>
      <c r="R246" s="140"/>
    </row>
    <row r="247" spans="1:19" ht="13.5" thickBot="1">
      <c r="A247" s="95" t="s">
        <v>64</v>
      </c>
      <c r="B247" s="96" t="s">
        <v>57</v>
      </c>
      <c r="C247" s="96" t="s">
        <v>342</v>
      </c>
      <c r="D247" s="97" t="s">
        <v>343</v>
      </c>
      <c r="E247" s="97" t="s">
        <v>344</v>
      </c>
      <c r="F247" s="97" t="s">
        <v>69</v>
      </c>
      <c r="G247" s="97" t="s">
        <v>210</v>
      </c>
      <c r="H247" s="97" t="s">
        <v>345</v>
      </c>
      <c r="I247" s="97" t="s">
        <v>194</v>
      </c>
      <c r="J247" s="162"/>
      <c r="K247" s="98">
        <v>9000</v>
      </c>
      <c r="L247" s="99">
        <v>0</v>
      </c>
      <c r="M247" s="98">
        <v>9000</v>
      </c>
      <c r="N247" s="99">
        <v>0</v>
      </c>
      <c r="O247" s="342">
        <v>9000</v>
      </c>
      <c r="P247" s="99">
        <v>0</v>
      </c>
      <c r="Q247" s="141">
        <v>9000</v>
      </c>
      <c r="R247" s="142">
        <v>9000</v>
      </c>
      <c r="S247" s="308"/>
    </row>
    <row r="248" spans="1:19" ht="13.5" thickBot="1">
      <c r="A248" s="95" t="s">
        <v>64</v>
      </c>
      <c r="B248" s="96" t="s">
        <v>57</v>
      </c>
      <c r="C248" s="96" t="s">
        <v>342</v>
      </c>
      <c r="D248" s="97" t="s">
        <v>343</v>
      </c>
      <c r="E248" s="97" t="s">
        <v>344</v>
      </c>
      <c r="F248" s="97" t="s">
        <v>69</v>
      </c>
      <c r="G248" s="97" t="s">
        <v>210</v>
      </c>
      <c r="H248" s="97" t="s">
        <v>345</v>
      </c>
      <c r="I248" s="97" t="s">
        <v>346</v>
      </c>
      <c r="J248" s="162"/>
      <c r="K248" s="98">
        <v>0</v>
      </c>
      <c r="L248" s="99">
        <v>12600</v>
      </c>
      <c r="M248" s="163"/>
      <c r="N248" s="164"/>
      <c r="O248" s="341"/>
      <c r="P248" s="164"/>
      <c r="Q248" s="141"/>
      <c r="R248" s="142"/>
      <c r="S248" s="308"/>
    </row>
    <row r="249" spans="1:19" ht="13.5" thickBot="1">
      <c r="A249" s="95" t="s">
        <v>64</v>
      </c>
      <c r="B249" s="96" t="s">
        <v>57</v>
      </c>
      <c r="C249" s="96" t="s">
        <v>342</v>
      </c>
      <c r="D249" s="97" t="s">
        <v>343</v>
      </c>
      <c r="E249" s="97" t="s">
        <v>344</v>
      </c>
      <c r="F249" s="97" t="s">
        <v>69</v>
      </c>
      <c r="G249" s="97" t="s">
        <v>210</v>
      </c>
      <c r="H249" s="97" t="s">
        <v>345</v>
      </c>
      <c r="I249" s="162"/>
      <c r="J249" s="162"/>
      <c r="K249" s="163"/>
      <c r="L249" s="164"/>
      <c r="M249" s="98">
        <v>0</v>
      </c>
      <c r="N249" s="99">
        <v>3540</v>
      </c>
      <c r="O249" s="341"/>
      <c r="P249" s="164"/>
      <c r="Q249" s="141"/>
      <c r="R249" s="142"/>
      <c r="S249" s="308"/>
    </row>
    <row r="250" spans="1:19" ht="13.5" thickBot="1">
      <c r="A250" s="95" t="s">
        <v>64</v>
      </c>
      <c r="B250" s="96" t="s">
        <v>57</v>
      </c>
      <c r="C250" s="96" t="s">
        <v>342</v>
      </c>
      <c r="D250" s="97" t="s">
        <v>343</v>
      </c>
      <c r="E250" s="97" t="s">
        <v>344</v>
      </c>
      <c r="F250" s="97" t="s">
        <v>71</v>
      </c>
      <c r="G250" s="97" t="s">
        <v>232</v>
      </c>
      <c r="H250" s="97" t="s">
        <v>345</v>
      </c>
      <c r="I250" s="97" t="s">
        <v>194</v>
      </c>
      <c r="J250" s="162"/>
      <c r="K250" s="98">
        <v>17000</v>
      </c>
      <c r="L250" s="99">
        <v>0</v>
      </c>
      <c r="M250" s="98">
        <v>17000</v>
      </c>
      <c r="N250" s="99">
        <v>0</v>
      </c>
      <c r="O250" s="342">
        <v>17000</v>
      </c>
      <c r="P250" s="99">
        <v>0</v>
      </c>
      <c r="Q250" s="141">
        <v>10000</v>
      </c>
      <c r="R250" s="142">
        <v>8000</v>
      </c>
      <c r="S250" s="308"/>
    </row>
    <row r="251" spans="1:19" ht="13.5" thickBot="1">
      <c r="A251" s="95" t="s">
        <v>64</v>
      </c>
      <c r="B251" s="96" t="s">
        <v>57</v>
      </c>
      <c r="C251" s="96" t="s">
        <v>342</v>
      </c>
      <c r="D251" s="97" t="s">
        <v>343</v>
      </c>
      <c r="E251" s="97" t="s">
        <v>344</v>
      </c>
      <c r="F251" s="97" t="s">
        <v>72</v>
      </c>
      <c r="G251" s="97" t="s">
        <v>290</v>
      </c>
      <c r="H251" s="97" t="s">
        <v>345</v>
      </c>
      <c r="I251" s="162"/>
      <c r="J251" s="162"/>
      <c r="K251" s="163"/>
      <c r="L251" s="164"/>
      <c r="M251" s="98">
        <v>0</v>
      </c>
      <c r="N251" s="99">
        <v>20</v>
      </c>
      <c r="O251" s="341"/>
      <c r="P251" s="164"/>
      <c r="Q251" s="141"/>
      <c r="R251" s="142"/>
      <c r="S251" s="308"/>
    </row>
    <row r="252" spans="1:19" ht="13.5" thickBot="1">
      <c r="A252" s="95" t="s">
        <v>64</v>
      </c>
      <c r="B252" s="96" t="s">
        <v>57</v>
      </c>
      <c r="C252" s="96" t="s">
        <v>342</v>
      </c>
      <c r="D252" s="97" t="s">
        <v>343</v>
      </c>
      <c r="E252" s="97" t="s">
        <v>344</v>
      </c>
      <c r="F252" s="97" t="s">
        <v>72</v>
      </c>
      <c r="G252" s="97" t="s">
        <v>290</v>
      </c>
      <c r="H252" s="97" t="s">
        <v>323</v>
      </c>
      <c r="I252" s="97" t="s">
        <v>194</v>
      </c>
      <c r="J252" s="162"/>
      <c r="K252" s="98">
        <v>5500</v>
      </c>
      <c r="L252" s="99">
        <v>0</v>
      </c>
      <c r="M252" s="163"/>
      <c r="N252" s="164"/>
      <c r="O252" s="341"/>
      <c r="P252" s="164"/>
      <c r="Q252" s="141"/>
      <c r="R252" s="142"/>
      <c r="S252" s="308"/>
    </row>
    <row r="253" spans="1:19" ht="13.5" thickBot="1">
      <c r="A253" s="95" t="s">
        <v>64</v>
      </c>
      <c r="B253" s="96" t="s">
        <v>57</v>
      </c>
      <c r="C253" s="96" t="s">
        <v>342</v>
      </c>
      <c r="D253" s="97" t="s">
        <v>343</v>
      </c>
      <c r="E253" s="97" t="s">
        <v>344</v>
      </c>
      <c r="F253" s="97" t="s">
        <v>74</v>
      </c>
      <c r="G253" s="97" t="s">
        <v>234</v>
      </c>
      <c r="H253" s="97" t="s">
        <v>345</v>
      </c>
      <c r="I253" s="97" t="s">
        <v>194</v>
      </c>
      <c r="J253" s="162"/>
      <c r="K253" s="98">
        <v>24000</v>
      </c>
      <c r="L253" s="99">
        <v>0</v>
      </c>
      <c r="M253" s="98">
        <v>24000</v>
      </c>
      <c r="N253" s="99">
        <v>0</v>
      </c>
      <c r="O253" s="342">
        <v>24000</v>
      </c>
      <c r="P253" s="99">
        <v>0</v>
      </c>
      <c r="Q253" s="141">
        <v>24000</v>
      </c>
      <c r="R253" s="142">
        <v>24000</v>
      </c>
      <c r="S253" s="308"/>
    </row>
    <row r="254" spans="1:19" ht="13.5" thickBot="1">
      <c r="A254" s="95" t="s">
        <v>64</v>
      </c>
      <c r="B254" s="96" t="s">
        <v>57</v>
      </c>
      <c r="C254" s="96" t="s">
        <v>342</v>
      </c>
      <c r="D254" s="97" t="s">
        <v>343</v>
      </c>
      <c r="E254" s="97" t="s">
        <v>344</v>
      </c>
      <c r="F254" s="97" t="s">
        <v>74</v>
      </c>
      <c r="G254" s="97" t="s">
        <v>234</v>
      </c>
      <c r="H254" s="97" t="s">
        <v>345</v>
      </c>
      <c r="I254" s="162"/>
      <c r="J254" s="162"/>
      <c r="K254" s="163"/>
      <c r="L254" s="164"/>
      <c r="M254" s="98">
        <v>0</v>
      </c>
      <c r="N254" s="99">
        <v>9402.11</v>
      </c>
      <c r="O254" s="342">
        <v>0</v>
      </c>
      <c r="P254" s="99">
        <v>1570.03</v>
      </c>
      <c r="Q254" s="141"/>
      <c r="R254" s="142"/>
      <c r="S254" s="308"/>
    </row>
    <row r="255" spans="1:19" ht="13.5" thickBot="1">
      <c r="A255" s="95" t="s">
        <v>64</v>
      </c>
      <c r="B255" s="96" t="s">
        <v>57</v>
      </c>
      <c r="C255" s="96" t="s">
        <v>342</v>
      </c>
      <c r="D255" s="97" t="s">
        <v>343</v>
      </c>
      <c r="E255" s="97" t="s">
        <v>344</v>
      </c>
      <c r="F255" s="97" t="s">
        <v>78</v>
      </c>
      <c r="G255" s="97" t="s">
        <v>176</v>
      </c>
      <c r="H255" s="97" t="s">
        <v>347</v>
      </c>
      <c r="I255" s="162"/>
      <c r="J255" s="162"/>
      <c r="K255" s="163"/>
      <c r="L255" s="164"/>
      <c r="M255" s="98">
        <v>0</v>
      </c>
      <c r="N255" s="99">
        <v>1672.02</v>
      </c>
      <c r="O255" s="341"/>
      <c r="P255" s="164"/>
      <c r="Q255" s="141"/>
      <c r="R255" s="142"/>
      <c r="S255" s="308"/>
    </row>
    <row r="256" spans="1:19" ht="13.5" thickBot="1">
      <c r="A256" s="95" t="s">
        <v>64</v>
      </c>
      <c r="B256" s="96" t="s">
        <v>57</v>
      </c>
      <c r="C256" s="96" t="s">
        <v>342</v>
      </c>
      <c r="D256" s="97" t="s">
        <v>343</v>
      </c>
      <c r="E256" s="97" t="s">
        <v>344</v>
      </c>
      <c r="F256" s="97" t="s">
        <v>78</v>
      </c>
      <c r="G256" s="97" t="s">
        <v>176</v>
      </c>
      <c r="H256" s="97" t="s">
        <v>345</v>
      </c>
      <c r="I256" s="162"/>
      <c r="J256" s="162"/>
      <c r="K256" s="98">
        <v>32410</v>
      </c>
      <c r="L256" s="99">
        <v>11927.62</v>
      </c>
      <c r="M256" s="98">
        <v>32410</v>
      </c>
      <c r="N256" s="99">
        <v>17607.48</v>
      </c>
      <c r="O256" s="342">
        <v>32410</v>
      </c>
      <c r="P256" s="99">
        <v>3083.58</v>
      </c>
      <c r="Q256" s="141">
        <v>20000</v>
      </c>
      <c r="R256" s="142">
        <v>15000</v>
      </c>
      <c r="S256" s="308"/>
    </row>
    <row r="257" spans="1:19" ht="13.5" thickBot="1">
      <c r="A257" s="95" t="s">
        <v>64</v>
      </c>
      <c r="B257" s="96" t="s">
        <v>57</v>
      </c>
      <c r="C257" s="96" t="s">
        <v>342</v>
      </c>
      <c r="D257" s="97" t="s">
        <v>343</v>
      </c>
      <c r="E257" s="97" t="s">
        <v>344</v>
      </c>
      <c r="F257" s="97" t="s">
        <v>83</v>
      </c>
      <c r="G257" s="97" t="s">
        <v>178</v>
      </c>
      <c r="H257" s="97" t="s">
        <v>345</v>
      </c>
      <c r="I257" s="162"/>
      <c r="J257" s="162"/>
      <c r="K257" s="98">
        <v>172000</v>
      </c>
      <c r="L257" s="99">
        <v>162484.53</v>
      </c>
      <c r="M257" s="98">
        <v>172000</v>
      </c>
      <c r="N257" s="99">
        <v>245008.61</v>
      </c>
      <c r="O257" s="342">
        <v>242000</v>
      </c>
      <c r="P257" s="99">
        <v>107071.18</v>
      </c>
      <c r="Q257" s="141">
        <f>254129.9+2500</f>
        <v>256629.9</v>
      </c>
      <c r="R257" s="142">
        <f>242000+14676.5+4100</f>
        <v>260776.5</v>
      </c>
      <c r="S257" s="308" t="s">
        <v>348</v>
      </c>
    </row>
    <row r="258" spans="1:19" ht="13.5" thickBot="1">
      <c r="A258" s="95" t="s">
        <v>64</v>
      </c>
      <c r="B258" s="96" t="s">
        <v>57</v>
      </c>
      <c r="C258" s="96" t="s">
        <v>342</v>
      </c>
      <c r="D258" s="97" t="s">
        <v>343</v>
      </c>
      <c r="E258" s="97" t="s">
        <v>344</v>
      </c>
      <c r="F258" s="97" t="s">
        <v>85</v>
      </c>
      <c r="G258" s="97" t="s">
        <v>201</v>
      </c>
      <c r="H258" s="97" t="s">
        <v>345</v>
      </c>
      <c r="I258" s="162"/>
      <c r="J258" s="162"/>
      <c r="K258" s="98">
        <v>3000</v>
      </c>
      <c r="L258" s="99">
        <v>7342.23</v>
      </c>
      <c r="M258" s="98">
        <v>3000</v>
      </c>
      <c r="N258" s="99">
        <v>177.35</v>
      </c>
      <c r="O258" s="342">
        <v>3000</v>
      </c>
      <c r="P258" s="99">
        <v>0</v>
      </c>
      <c r="Q258" s="141">
        <v>3000</v>
      </c>
      <c r="R258" s="142">
        <v>3000</v>
      </c>
      <c r="S258" s="308"/>
    </row>
    <row r="259" spans="1:19" ht="13.5" thickBot="1">
      <c r="A259" s="95" t="s">
        <v>64</v>
      </c>
      <c r="B259" s="96" t="s">
        <v>57</v>
      </c>
      <c r="C259" s="96" t="s">
        <v>342</v>
      </c>
      <c r="D259" s="97" t="s">
        <v>343</v>
      </c>
      <c r="E259" s="97" t="s">
        <v>344</v>
      </c>
      <c r="F259" s="97" t="s">
        <v>86</v>
      </c>
      <c r="G259" s="97" t="s">
        <v>179</v>
      </c>
      <c r="H259" s="97" t="s">
        <v>345</v>
      </c>
      <c r="I259" s="162"/>
      <c r="J259" s="162"/>
      <c r="K259" s="98">
        <v>25000</v>
      </c>
      <c r="L259" s="99">
        <v>33437.410000000003</v>
      </c>
      <c r="M259" s="98">
        <v>25000</v>
      </c>
      <c r="N259" s="99">
        <v>21507.15</v>
      </c>
      <c r="O259" s="342">
        <v>25000</v>
      </c>
      <c r="P259" s="99">
        <v>-3870</v>
      </c>
      <c r="Q259" s="141">
        <v>15000</v>
      </c>
      <c r="R259" s="142">
        <v>10000</v>
      </c>
      <c r="S259" s="308"/>
    </row>
    <row r="260" spans="1:19" ht="13.5" thickBot="1">
      <c r="A260" s="95" t="s">
        <v>64</v>
      </c>
      <c r="B260" s="96" t="s">
        <v>57</v>
      </c>
      <c r="C260" s="96" t="s">
        <v>342</v>
      </c>
      <c r="D260" s="97" t="s">
        <v>343</v>
      </c>
      <c r="E260" s="97" t="s">
        <v>344</v>
      </c>
      <c r="F260" s="97" t="s">
        <v>87</v>
      </c>
      <c r="G260" s="97" t="s">
        <v>237</v>
      </c>
      <c r="H260" s="97" t="s">
        <v>345</v>
      </c>
      <c r="I260" s="162"/>
      <c r="J260" s="162"/>
      <c r="K260" s="98">
        <v>0</v>
      </c>
      <c r="L260" s="99">
        <v>51.93</v>
      </c>
      <c r="M260" s="98">
        <v>0</v>
      </c>
      <c r="N260" s="99">
        <v>84.54</v>
      </c>
      <c r="O260" s="341"/>
      <c r="P260" s="164"/>
      <c r="Q260" s="141"/>
      <c r="R260" s="142"/>
      <c r="S260" s="308"/>
    </row>
    <row r="261" spans="1:19" ht="13.5" thickBot="1">
      <c r="A261" s="95" t="s">
        <v>64</v>
      </c>
      <c r="B261" s="96" t="s">
        <v>57</v>
      </c>
      <c r="C261" s="96" t="s">
        <v>342</v>
      </c>
      <c r="D261" s="97" t="s">
        <v>343</v>
      </c>
      <c r="E261" s="97" t="s">
        <v>344</v>
      </c>
      <c r="F261" s="97" t="s">
        <v>88</v>
      </c>
      <c r="G261" s="97" t="s">
        <v>181</v>
      </c>
      <c r="H261" s="97" t="s">
        <v>345</v>
      </c>
      <c r="I261" s="162"/>
      <c r="J261" s="162"/>
      <c r="K261" s="163"/>
      <c r="L261" s="164"/>
      <c r="M261" s="98">
        <v>0</v>
      </c>
      <c r="N261" s="99">
        <v>2700</v>
      </c>
      <c r="O261" s="341"/>
      <c r="P261" s="164"/>
      <c r="Q261" s="141"/>
      <c r="R261" s="142"/>
      <c r="S261" s="308"/>
    </row>
    <row r="262" spans="1:19" ht="13.5" thickBot="1">
      <c r="A262" s="95" t="s">
        <v>64</v>
      </c>
      <c r="B262" s="96" t="s">
        <v>57</v>
      </c>
      <c r="C262" s="96" t="s">
        <v>342</v>
      </c>
      <c r="D262" s="97" t="s">
        <v>343</v>
      </c>
      <c r="E262" s="97" t="s">
        <v>344</v>
      </c>
      <c r="F262" s="97" t="s">
        <v>89</v>
      </c>
      <c r="G262" s="97" t="s">
        <v>183</v>
      </c>
      <c r="H262" s="97" t="s">
        <v>345</v>
      </c>
      <c r="I262" s="162"/>
      <c r="J262" s="162"/>
      <c r="K262" s="98">
        <v>2500</v>
      </c>
      <c r="L262" s="99">
        <v>949.09</v>
      </c>
      <c r="M262" s="98">
        <v>2500</v>
      </c>
      <c r="N262" s="99">
        <v>1429.13</v>
      </c>
      <c r="O262" s="342">
        <v>2500</v>
      </c>
      <c r="P262" s="99">
        <v>0</v>
      </c>
      <c r="Q262" s="141">
        <v>1500</v>
      </c>
      <c r="R262" s="142">
        <v>1500</v>
      </c>
      <c r="S262" s="308"/>
    </row>
    <row r="263" spans="1:19" ht="13.5" thickBot="1">
      <c r="A263" s="95" t="s">
        <v>64</v>
      </c>
      <c r="B263" s="96" t="s">
        <v>57</v>
      </c>
      <c r="C263" s="96" t="s">
        <v>342</v>
      </c>
      <c r="D263" s="97" t="s">
        <v>343</v>
      </c>
      <c r="E263" s="97" t="s">
        <v>344</v>
      </c>
      <c r="F263" s="97" t="s">
        <v>90</v>
      </c>
      <c r="G263" s="97" t="s">
        <v>184</v>
      </c>
      <c r="H263" s="97" t="s">
        <v>345</v>
      </c>
      <c r="I263" s="162"/>
      <c r="J263" s="162"/>
      <c r="K263" s="98">
        <v>5000</v>
      </c>
      <c r="L263" s="99">
        <v>4130</v>
      </c>
      <c r="M263" s="98">
        <v>5000</v>
      </c>
      <c r="N263" s="99">
        <v>5900</v>
      </c>
      <c r="O263" s="342">
        <f>7200+533</f>
        <v>7733</v>
      </c>
      <c r="P263" s="99">
        <v>0</v>
      </c>
      <c r="Q263" s="141">
        <v>7200</v>
      </c>
      <c r="R263" s="142">
        <v>7200</v>
      </c>
      <c r="S263" s="308"/>
    </row>
    <row r="264" spans="1:19" ht="13.5" thickBot="1">
      <c r="A264" s="95" t="s">
        <v>64</v>
      </c>
      <c r="B264" s="96" t="s">
        <v>57</v>
      </c>
      <c r="C264" s="96" t="s">
        <v>342</v>
      </c>
      <c r="D264" s="97" t="s">
        <v>343</v>
      </c>
      <c r="E264" s="97" t="s">
        <v>344</v>
      </c>
      <c r="F264" s="97" t="s">
        <v>91</v>
      </c>
      <c r="G264" s="97" t="s">
        <v>349</v>
      </c>
      <c r="H264" s="97" t="s">
        <v>345</v>
      </c>
      <c r="I264" s="162"/>
      <c r="J264" s="162"/>
      <c r="K264" s="163"/>
      <c r="L264" s="164"/>
      <c r="M264" s="163"/>
      <c r="N264" s="164"/>
      <c r="O264" s="342">
        <v>0</v>
      </c>
      <c r="P264" s="99">
        <v>4150</v>
      </c>
      <c r="Q264" s="141"/>
      <c r="R264" s="142"/>
      <c r="S264" s="308"/>
    </row>
    <row r="265" spans="1:19" ht="13.5" thickBot="1">
      <c r="A265" s="95" t="s">
        <v>64</v>
      </c>
      <c r="B265" s="96" t="s">
        <v>57</v>
      </c>
      <c r="C265" s="96" t="s">
        <v>342</v>
      </c>
      <c r="D265" s="97" t="s">
        <v>343</v>
      </c>
      <c r="E265" s="97" t="s">
        <v>344</v>
      </c>
      <c r="F265" s="97" t="s">
        <v>98</v>
      </c>
      <c r="G265" s="97" t="s">
        <v>350</v>
      </c>
      <c r="H265" s="97" t="s">
        <v>345</v>
      </c>
      <c r="I265" s="162"/>
      <c r="J265" s="162"/>
      <c r="K265" s="98">
        <v>0</v>
      </c>
      <c r="L265" s="99">
        <v>40</v>
      </c>
      <c r="M265" s="163"/>
      <c r="N265" s="164"/>
      <c r="O265" s="342">
        <v>500</v>
      </c>
      <c r="P265" s="99">
        <v>0</v>
      </c>
      <c r="Q265" s="141">
        <v>500</v>
      </c>
      <c r="R265" s="142">
        <v>500</v>
      </c>
      <c r="S265" s="308"/>
    </row>
    <row r="266" spans="1:19" ht="13.5" thickBot="1">
      <c r="A266" s="95" t="s">
        <v>64</v>
      </c>
      <c r="B266" s="96" t="s">
        <v>57</v>
      </c>
      <c r="C266" s="96" t="s">
        <v>342</v>
      </c>
      <c r="D266" s="97" t="s">
        <v>343</v>
      </c>
      <c r="E266" s="97" t="s">
        <v>344</v>
      </c>
      <c r="F266" s="97" t="s">
        <v>107</v>
      </c>
      <c r="G266" s="97" t="s">
        <v>351</v>
      </c>
      <c r="H266" s="97" t="s">
        <v>345</v>
      </c>
      <c r="I266" s="162"/>
      <c r="J266" s="162"/>
      <c r="K266" s="163"/>
      <c r="L266" s="164"/>
      <c r="M266" s="163"/>
      <c r="N266" s="164"/>
      <c r="O266" s="342">
        <v>0</v>
      </c>
      <c r="P266" s="99">
        <v>198.45</v>
      </c>
      <c r="Q266" s="141">
        <v>500</v>
      </c>
      <c r="R266" s="142">
        <v>500</v>
      </c>
      <c r="S266" s="308"/>
    </row>
    <row r="267" spans="1:19" ht="13.5" thickBot="1">
      <c r="A267" s="95" t="s">
        <v>64</v>
      </c>
      <c r="B267" s="96" t="s">
        <v>57</v>
      </c>
      <c r="C267" s="96" t="s">
        <v>342</v>
      </c>
      <c r="D267" s="97" t="s">
        <v>343</v>
      </c>
      <c r="E267" s="97" t="s">
        <v>344</v>
      </c>
      <c r="F267" s="97" t="s">
        <v>115</v>
      </c>
      <c r="G267" s="97" t="s">
        <v>284</v>
      </c>
      <c r="H267" s="97" t="s">
        <v>345</v>
      </c>
      <c r="I267" s="162"/>
      <c r="J267" s="162"/>
      <c r="K267" s="163"/>
      <c r="L267" s="164"/>
      <c r="M267" s="98">
        <v>0</v>
      </c>
      <c r="N267" s="99">
        <v>2348</v>
      </c>
      <c r="O267" s="341"/>
      <c r="P267" s="164"/>
      <c r="Q267" s="141"/>
      <c r="R267" s="142"/>
      <c r="S267" s="308"/>
    </row>
    <row r="268" spans="1:19" ht="13.5" thickBot="1">
      <c r="A268" s="95" t="s">
        <v>64</v>
      </c>
      <c r="B268" s="96" t="s">
        <v>57</v>
      </c>
      <c r="C268" s="96" t="s">
        <v>342</v>
      </c>
      <c r="D268" s="97" t="s">
        <v>343</v>
      </c>
      <c r="E268" s="97" t="s">
        <v>344</v>
      </c>
      <c r="F268" s="97" t="s">
        <v>121</v>
      </c>
      <c r="G268" s="97" t="s">
        <v>245</v>
      </c>
      <c r="H268" s="97" t="s">
        <v>345</v>
      </c>
      <c r="I268" s="162"/>
      <c r="J268" s="162"/>
      <c r="K268" s="163"/>
      <c r="L268" s="164"/>
      <c r="M268" s="163"/>
      <c r="N268" s="164"/>
      <c r="O268" s="342">
        <v>0</v>
      </c>
      <c r="P268" s="99">
        <v>125000</v>
      </c>
      <c r="Q268" s="141"/>
      <c r="R268" s="142"/>
      <c r="S268" s="308"/>
    </row>
    <row r="269" spans="1:19" ht="13.5" thickBot="1">
      <c r="A269" s="95" t="s">
        <v>64</v>
      </c>
      <c r="B269" s="96" t="s">
        <v>57</v>
      </c>
      <c r="C269" s="96" t="s">
        <v>342</v>
      </c>
      <c r="D269" s="97" t="s">
        <v>343</v>
      </c>
      <c r="E269" s="97" t="s">
        <v>344</v>
      </c>
      <c r="F269" s="97" t="s">
        <v>123</v>
      </c>
      <c r="G269" s="97" t="s">
        <v>352</v>
      </c>
      <c r="H269" s="97" t="s">
        <v>345</v>
      </c>
      <c r="I269" s="162"/>
      <c r="J269" s="162"/>
      <c r="K269" s="98">
        <v>60000</v>
      </c>
      <c r="L269" s="99">
        <v>54689.03</v>
      </c>
      <c r="M269" s="98">
        <v>60000</v>
      </c>
      <c r="N269" s="99">
        <v>57510.6</v>
      </c>
      <c r="O269" s="342">
        <v>60000</v>
      </c>
      <c r="P269" s="99">
        <v>11792.8</v>
      </c>
      <c r="Q269" s="141">
        <v>55000</v>
      </c>
      <c r="R269" s="142">
        <v>53000</v>
      </c>
      <c r="S269" s="308"/>
    </row>
    <row r="270" spans="1:19" ht="13.5" thickBot="1">
      <c r="A270" s="95" t="s">
        <v>64</v>
      </c>
      <c r="B270" s="96" t="s">
        <v>57</v>
      </c>
      <c r="C270" s="96" t="s">
        <v>342</v>
      </c>
      <c r="D270" s="97" t="s">
        <v>343</v>
      </c>
      <c r="E270" s="97" t="s">
        <v>344</v>
      </c>
      <c r="F270" s="97" t="s">
        <v>124</v>
      </c>
      <c r="G270" s="97" t="s">
        <v>353</v>
      </c>
      <c r="H270" s="97" t="s">
        <v>345</v>
      </c>
      <c r="I270" s="162"/>
      <c r="J270" s="162"/>
      <c r="K270" s="98">
        <v>20000</v>
      </c>
      <c r="L270" s="99">
        <v>26694.799999999999</v>
      </c>
      <c r="M270" s="98">
        <v>20000</v>
      </c>
      <c r="N270" s="99">
        <v>20724</v>
      </c>
      <c r="O270" s="342">
        <v>20000</v>
      </c>
      <c r="P270" s="99">
        <v>4895</v>
      </c>
      <c r="Q270" s="141">
        <v>20000</v>
      </c>
      <c r="R270" s="142">
        <v>20000</v>
      </c>
      <c r="S270" s="308"/>
    </row>
    <row r="271" spans="1:19" ht="13.5" thickBot="1">
      <c r="A271" s="95" t="s">
        <v>64</v>
      </c>
      <c r="B271" s="96" t="s">
        <v>57</v>
      </c>
      <c r="C271" s="96" t="s">
        <v>342</v>
      </c>
      <c r="D271" s="97" t="s">
        <v>343</v>
      </c>
      <c r="E271" s="97" t="s">
        <v>344</v>
      </c>
      <c r="F271" s="97" t="s">
        <v>125</v>
      </c>
      <c r="G271" s="97" t="s">
        <v>214</v>
      </c>
      <c r="H271" s="97" t="s">
        <v>345</v>
      </c>
      <c r="I271" s="162"/>
      <c r="J271" s="162"/>
      <c r="K271" s="163"/>
      <c r="L271" s="164"/>
      <c r="M271" s="98">
        <v>0</v>
      </c>
      <c r="N271" s="99">
        <v>198.05</v>
      </c>
      <c r="O271" s="342">
        <v>200</v>
      </c>
      <c r="P271" s="99">
        <v>42.5</v>
      </c>
      <c r="Q271" s="141">
        <v>200</v>
      </c>
      <c r="R271" s="142">
        <v>200</v>
      </c>
      <c r="S271" s="308"/>
    </row>
    <row r="272" spans="1:19" ht="13.5" thickBot="1">
      <c r="A272" s="95" t="s">
        <v>64</v>
      </c>
      <c r="B272" s="96" t="s">
        <v>57</v>
      </c>
      <c r="C272" s="96" t="s">
        <v>342</v>
      </c>
      <c r="D272" s="97" t="s">
        <v>343</v>
      </c>
      <c r="E272" s="97" t="s">
        <v>344</v>
      </c>
      <c r="F272" s="97" t="s">
        <v>126</v>
      </c>
      <c r="G272" s="97" t="s">
        <v>246</v>
      </c>
      <c r="H272" s="97" t="s">
        <v>233</v>
      </c>
      <c r="I272" s="162"/>
      <c r="J272" s="162"/>
      <c r="K272" s="163"/>
      <c r="L272" s="164"/>
      <c r="M272" s="98">
        <v>0</v>
      </c>
      <c r="N272" s="99">
        <v>590.52</v>
      </c>
      <c r="O272" s="341"/>
      <c r="P272" s="164"/>
      <c r="Q272" s="141"/>
      <c r="R272" s="142"/>
      <c r="S272" s="308"/>
    </row>
    <row r="273" spans="1:18" ht="13.5" thickBot="1">
      <c r="A273" s="95" t="s">
        <v>64</v>
      </c>
      <c r="B273" s="96" t="s">
        <v>57</v>
      </c>
      <c r="C273" s="96" t="s">
        <v>342</v>
      </c>
      <c r="D273" s="97" t="s">
        <v>343</v>
      </c>
      <c r="E273" s="97" t="s">
        <v>344</v>
      </c>
      <c r="F273" s="97" t="s">
        <v>130</v>
      </c>
      <c r="G273" s="97" t="s">
        <v>251</v>
      </c>
      <c r="H273" s="97" t="s">
        <v>345</v>
      </c>
      <c r="I273" s="162"/>
      <c r="J273" s="162"/>
      <c r="K273" s="98">
        <v>0</v>
      </c>
      <c r="L273" s="99">
        <v>61.61</v>
      </c>
      <c r="M273" s="98">
        <v>0</v>
      </c>
      <c r="N273" s="99">
        <v>1723.02</v>
      </c>
      <c r="O273" s="342">
        <v>0</v>
      </c>
      <c r="P273" s="99">
        <v>229.47</v>
      </c>
      <c r="Q273" s="141"/>
      <c r="R273" s="142"/>
    </row>
    <row r="274" spans="1:18" ht="13.5" thickBot="1">
      <c r="A274" s="95" t="s">
        <v>64</v>
      </c>
      <c r="B274" s="96" t="s">
        <v>57</v>
      </c>
      <c r="C274" s="96" t="s">
        <v>342</v>
      </c>
      <c r="D274" s="97" t="s">
        <v>343</v>
      </c>
      <c r="E274" s="97" t="s">
        <v>344</v>
      </c>
      <c r="F274" s="97" t="s">
        <v>131</v>
      </c>
      <c r="G274" s="97" t="s">
        <v>206</v>
      </c>
      <c r="H274" s="97" t="s">
        <v>345</v>
      </c>
      <c r="I274" s="162"/>
      <c r="J274" s="162"/>
      <c r="K274" s="98">
        <v>120000</v>
      </c>
      <c r="L274" s="99">
        <v>26817.51</v>
      </c>
      <c r="M274" s="98">
        <v>120000</v>
      </c>
      <c r="N274" s="99">
        <v>18137.11</v>
      </c>
      <c r="O274" s="342">
        <v>120000</v>
      </c>
      <c r="P274" s="99">
        <v>52297</v>
      </c>
      <c r="Q274" s="141">
        <v>120000</v>
      </c>
      <c r="R274" s="142">
        <v>120000</v>
      </c>
    </row>
    <row r="275" spans="1:18" ht="13.5" thickBot="1">
      <c r="A275" s="95" t="s">
        <v>64</v>
      </c>
      <c r="B275" s="96" t="s">
        <v>57</v>
      </c>
      <c r="C275" s="96" t="s">
        <v>342</v>
      </c>
      <c r="D275" s="97" t="s">
        <v>343</v>
      </c>
      <c r="E275" s="97" t="s">
        <v>344</v>
      </c>
      <c r="F275" s="97" t="s">
        <v>132</v>
      </c>
      <c r="G275" s="97" t="s">
        <v>354</v>
      </c>
      <c r="H275" s="97" t="s">
        <v>345</v>
      </c>
      <c r="I275" s="162"/>
      <c r="J275" s="162"/>
      <c r="K275" s="98">
        <v>5000</v>
      </c>
      <c r="L275" s="99">
        <v>5583.22</v>
      </c>
      <c r="M275" s="98">
        <v>5000</v>
      </c>
      <c r="N275" s="99">
        <v>5542.92</v>
      </c>
      <c r="O275" s="342">
        <v>5000</v>
      </c>
      <c r="P275" s="99">
        <v>0</v>
      </c>
      <c r="Q275" s="141">
        <v>5000</v>
      </c>
      <c r="R275" s="142">
        <v>5000</v>
      </c>
    </row>
    <row r="276" spans="1:18" ht="13.5" thickBot="1">
      <c r="A276" s="95" t="s">
        <v>64</v>
      </c>
      <c r="B276" s="96" t="s">
        <v>57</v>
      </c>
      <c r="C276" s="96" t="s">
        <v>342</v>
      </c>
      <c r="D276" s="97" t="s">
        <v>343</v>
      </c>
      <c r="E276" s="97" t="s">
        <v>344</v>
      </c>
      <c r="F276" s="97" t="s">
        <v>136</v>
      </c>
      <c r="G276" s="97" t="s">
        <v>254</v>
      </c>
      <c r="H276" s="97" t="s">
        <v>345</v>
      </c>
      <c r="I276" s="162"/>
      <c r="J276" s="162"/>
      <c r="K276" s="98">
        <v>1740</v>
      </c>
      <c r="L276" s="99">
        <v>22102.6</v>
      </c>
      <c r="M276" s="98">
        <v>1740</v>
      </c>
      <c r="N276" s="99">
        <v>4987.95</v>
      </c>
      <c r="O276" s="342">
        <v>5000</v>
      </c>
      <c r="P276" s="99">
        <v>0</v>
      </c>
      <c r="Q276" s="141">
        <v>5000</v>
      </c>
      <c r="R276" s="142">
        <v>5000</v>
      </c>
    </row>
    <row r="277" spans="1:18" ht="13.5" thickBot="1">
      <c r="A277" s="95" t="s">
        <v>64</v>
      </c>
      <c r="B277" s="96" t="s">
        <v>57</v>
      </c>
      <c r="C277" s="96" t="s">
        <v>342</v>
      </c>
      <c r="D277" s="97" t="s">
        <v>343</v>
      </c>
      <c r="E277" s="97" t="s">
        <v>344</v>
      </c>
      <c r="F277" s="97" t="s">
        <v>137</v>
      </c>
      <c r="G277" s="97" t="s">
        <v>255</v>
      </c>
      <c r="H277" s="97" t="s">
        <v>345</v>
      </c>
      <c r="I277" s="162"/>
      <c r="J277" s="162"/>
      <c r="K277" s="163"/>
      <c r="L277" s="164"/>
      <c r="M277" s="98">
        <v>0</v>
      </c>
      <c r="N277" s="99">
        <v>1439.25</v>
      </c>
      <c r="O277" s="341"/>
      <c r="P277" s="164"/>
      <c r="Q277" s="141"/>
      <c r="R277" s="142"/>
    </row>
    <row r="278" spans="1:18" ht="13.5" thickBot="1">
      <c r="A278" s="95" t="s">
        <v>64</v>
      </c>
      <c r="B278" s="96" t="s">
        <v>57</v>
      </c>
      <c r="C278" s="96" t="s">
        <v>342</v>
      </c>
      <c r="D278" s="97" t="s">
        <v>343</v>
      </c>
      <c r="E278" s="97" t="s">
        <v>344</v>
      </c>
      <c r="F278" s="97" t="s">
        <v>140</v>
      </c>
      <c r="G278" s="97" t="s">
        <v>339</v>
      </c>
      <c r="H278" s="97" t="s">
        <v>345</v>
      </c>
      <c r="I278" s="162"/>
      <c r="J278" s="162"/>
      <c r="K278" s="163"/>
      <c r="L278" s="164"/>
      <c r="M278" s="98">
        <v>0</v>
      </c>
      <c r="N278" s="99">
        <v>1100</v>
      </c>
      <c r="O278" s="341"/>
      <c r="P278" s="164"/>
      <c r="Q278" s="141"/>
      <c r="R278" s="142"/>
    </row>
    <row r="279" spans="1:18" ht="13.5" thickBot="1">
      <c r="A279" s="95" t="s">
        <v>64</v>
      </c>
      <c r="B279" s="96" t="s">
        <v>57</v>
      </c>
      <c r="C279" s="96" t="s">
        <v>342</v>
      </c>
      <c r="D279" s="97" t="s">
        <v>343</v>
      </c>
      <c r="E279" s="97" t="s">
        <v>344</v>
      </c>
      <c r="F279" s="97" t="s">
        <v>142</v>
      </c>
      <c r="G279" s="97" t="s">
        <v>187</v>
      </c>
      <c r="H279" s="97" t="s">
        <v>345</v>
      </c>
      <c r="I279" s="162"/>
      <c r="J279" s="162"/>
      <c r="K279" s="98">
        <v>0</v>
      </c>
      <c r="L279" s="99">
        <v>2846.75</v>
      </c>
      <c r="M279" s="98">
        <v>0</v>
      </c>
      <c r="N279" s="99">
        <v>3922.51</v>
      </c>
      <c r="O279" s="342">
        <v>15000</v>
      </c>
      <c r="P279" s="99">
        <v>0</v>
      </c>
      <c r="Q279" s="141">
        <v>10000</v>
      </c>
      <c r="R279" s="142">
        <v>8000</v>
      </c>
    </row>
    <row r="280" spans="1:18" ht="13.5" thickBot="1">
      <c r="A280" s="95" t="s">
        <v>64</v>
      </c>
      <c r="B280" s="96" t="s">
        <v>57</v>
      </c>
      <c r="C280" s="96" t="s">
        <v>342</v>
      </c>
      <c r="D280" s="97" t="s">
        <v>343</v>
      </c>
      <c r="E280" s="97" t="s">
        <v>344</v>
      </c>
      <c r="F280" s="97" t="s">
        <v>143</v>
      </c>
      <c r="G280" s="97" t="s">
        <v>207</v>
      </c>
      <c r="H280" s="97" t="s">
        <v>345</v>
      </c>
      <c r="I280" s="162"/>
      <c r="J280" s="162"/>
      <c r="K280" s="163"/>
      <c r="L280" s="164"/>
      <c r="M280" s="98" t="s">
        <v>355</v>
      </c>
      <c r="N280" s="99">
        <v>0</v>
      </c>
      <c r="O280" s="341"/>
      <c r="P280" s="164"/>
      <c r="Q280" s="141"/>
      <c r="R280" s="142"/>
    </row>
    <row r="281" spans="1:18" ht="13.5" thickBot="1">
      <c r="A281" s="95" t="s">
        <v>64</v>
      </c>
      <c r="B281" s="96" t="s">
        <v>57</v>
      </c>
      <c r="C281" s="96" t="s">
        <v>342</v>
      </c>
      <c r="D281" s="97" t="s">
        <v>343</v>
      </c>
      <c r="E281" s="97" t="s">
        <v>344</v>
      </c>
      <c r="F281" s="97" t="s">
        <v>145</v>
      </c>
      <c r="G281" s="97" t="s">
        <v>227</v>
      </c>
      <c r="H281" s="97" t="s">
        <v>345</v>
      </c>
      <c r="I281" s="162"/>
      <c r="J281" s="162"/>
      <c r="K281" s="163"/>
      <c r="L281" s="164"/>
      <c r="M281" s="98">
        <v>0</v>
      </c>
      <c r="N281" s="99">
        <v>0</v>
      </c>
      <c r="O281" s="342">
        <v>0</v>
      </c>
      <c r="P281" s="99">
        <v>0</v>
      </c>
      <c r="Q281" s="141"/>
      <c r="R281" s="142"/>
    </row>
    <row r="282" spans="1:18" ht="13.5" thickBot="1">
      <c r="A282" s="95" t="s">
        <v>64</v>
      </c>
      <c r="B282" s="96" t="s">
        <v>57</v>
      </c>
      <c r="C282" s="96" t="s">
        <v>342</v>
      </c>
      <c r="D282" s="97" t="s">
        <v>356</v>
      </c>
      <c r="E282" s="97" t="s">
        <v>357</v>
      </c>
      <c r="F282" s="97" t="s">
        <v>124</v>
      </c>
      <c r="G282" s="97" t="s">
        <v>353</v>
      </c>
      <c r="H282" s="97" t="s">
        <v>345</v>
      </c>
      <c r="I282" s="162"/>
      <c r="J282" s="162"/>
      <c r="K282" s="98">
        <v>0</v>
      </c>
      <c r="L282" s="99">
        <v>120</v>
      </c>
      <c r="M282" s="163"/>
      <c r="N282" s="164"/>
      <c r="O282" s="341"/>
      <c r="P282" s="164"/>
      <c r="Q282" s="141"/>
      <c r="R282" s="142"/>
    </row>
    <row r="283" spans="1:18" ht="13.5" thickBot="1">
      <c r="A283" s="95" t="s">
        <v>64</v>
      </c>
      <c r="B283" s="96" t="s">
        <v>57</v>
      </c>
      <c r="C283" s="96" t="s">
        <v>342</v>
      </c>
      <c r="D283" s="97" t="s">
        <v>358</v>
      </c>
      <c r="E283" s="97" t="s">
        <v>359</v>
      </c>
      <c r="F283" s="97" t="s">
        <v>72</v>
      </c>
      <c r="G283" s="97" t="s">
        <v>290</v>
      </c>
      <c r="H283" s="97" t="s">
        <v>347</v>
      </c>
      <c r="I283" s="162"/>
      <c r="J283" s="162"/>
      <c r="K283" s="163"/>
      <c r="L283" s="164"/>
      <c r="M283" s="98">
        <v>0</v>
      </c>
      <c r="N283" s="99">
        <v>0</v>
      </c>
      <c r="O283" s="341"/>
      <c r="P283" s="164"/>
      <c r="Q283" s="141"/>
      <c r="R283" s="142"/>
    </row>
    <row r="284" spans="1:18" ht="13.5" thickBot="1">
      <c r="A284" s="95" t="s">
        <v>64</v>
      </c>
      <c r="B284" s="96" t="s">
        <v>57</v>
      </c>
      <c r="C284" s="96" t="s">
        <v>342</v>
      </c>
      <c r="D284" s="97" t="s">
        <v>358</v>
      </c>
      <c r="E284" s="97" t="s">
        <v>359</v>
      </c>
      <c r="F284" s="97" t="s">
        <v>72</v>
      </c>
      <c r="G284" s="97" t="s">
        <v>290</v>
      </c>
      <c r="H284" s="97" t="s">
        <v>347</v>
      </c>
      <c r="I284" s="97" t="s">
        <v>360</v>
      </c>
      <c r="J284" s="162"/>
      <c r="K284" s="163"/>
      <c r="L284" s="164"/>
      <c r="M284" s="98">
        <v>0</v>
      </c>
      <c r="N284" s="99">
        <v>0</v>
      </c>
      <c r="O284" s="341"/>
      <c r="P284" s="164"/>
      <c r="Q284" s="141"/>
      <c r="R284" s="142"/>
    </row>
    <row r="285" spans="1:18" ht="13.5" thickBot="1">
      <c r="A285" s="95" t="s">
        <v>64</v>
      </c>
      <c r="B285" s="96" t="s">
        <v>57</v>
      </c>
      <c r="C285" s="96" t="s">
        <v>342</v>
      </c>
      <c r="D285" s="97" t="s">
        <v>358</v>
      </c>
      <c r="E285" s="97" t="s">
        <v>359</v>
      </c>
      <c r="F285" s="97" t="s">
        <v>72</v>
      </c>
      <c r="G285" s="97" t="s">
        <v>290</v>
      </c>
      <c r="H285" s="97" t="s">
        <v>361</v>
      </c>
      <c r="I285" s="97" t="s">
        <v>362</v>
      </c>
      <c r="J285" s="162"/>
      <c r="K285" s="163"/>
      <c r="L285" s="164"/>
      <c r="M285" s="98">
        <v>0</v>
      </c>
      <c r="N285" s="99">
        <v>0</v>
      </c>
      <c r="O285" s="341"/>
      <c r="P285" s="164"/>
      <c r="Q285" s="141"/>
      <c r="R285" s="142"/>
    </row>
    <row r="286" spans="1:18" ht="13.5" thickBot="1">
      <c r="A286" s="95" t="s">
        <v>64</v>
      </c>
      <c r="B286" s="96" t="s">
        <v>57</v>
      </c>
      <c r="C286" s="96" t="s">
        <v>342</v>
      </c>
      <c r="D286" s="97" t="s">
        <v>358</v>
      </c>
      <c r="E286" s="97" t="s">
        <v>359</v>
      </c>
      <c r="F286" s="97" t="s">
        <v>72</v>
      </c>
      <c r="G286" s="97" t="s">
        <v>290</v>
      </c>
      <c r="H286" s="97" t="s">
        <v>361</v>
      </c>
      <c r="I286" s="97" t="s">
        <v>360</v>
      </c>
      <c r="J286" s="162"/>
      <c r="K286" s="163"/>
      <c r="L286" s="164"/>
      <c r="M286" s="98">
        <v>0</v>
      </c>
      <c r="N286" s="99">
        <v>0</v>
      </c>
      <c r="O286" s="341"/>
      <c r="P286" s="164"/>
      <c r="Q286" s="141"/>
      <c r="R286" s="142"/>
    </row>
    <row r="287" spans="1:18" ht="13.5" thickBot="1">
      <c r="A287" s="95" t="s">
        <v>64</v>
      </c>
      <c r="B287" s="96" t="s">
        <v>57</v>
      </c>
      <c r="C287" s="96" t="s">
        <v>342</v>
      </c>
      <c r="D287" s="97" t="s">
        <v>358</v>
      </c>
      <c r="E287" s="97" t="s">
        <v>359</v>
      </c>
      <c r="F287" s="97" t="s">
        <v>78</v>
      </c>
      <c r="G287" s="97" t="s">
        <v>176</v>
      </c>
      <c r="H287" s="97" t="s">
        <v>347</v>
      </c>
      <c r="I287" s="162"/>
      <c r="J287" s="162"/>
      <c r="K287" s="98">
        <v>8200</v>
      </c>
      <c r="L287" s="99">
        <v>8196.9500000000007</v>
      </c>
      <c r="M287" s="98">
        <v>8200</v>
      </c>
      <c r="N287" s="99">
        <v>1681.7</v>
      </c>
      <c r="O287" s="342">
        <v>8200</v>
      </c>
      <c r="P287" s="99">
        <v>14.45</v>
      </c>
      <c r="Q287" s="141">
        <v>8200</v>
      </c>
      <c r="R287" s="142">
        <v>8200</v>
      </c>
    </row>
    <row r="288" spans="1:18" ht="13.5" thickBot="1">
      <c r="A288" s="95" t="s">
        <v>64</v>
      </c>
      <c r="B288" s="96" t="s">
        <v>57</v>
      </c>
      <c r="C288" s="96" t="s">
        <v>342</v>
      </c>
      <c r="D288" s="97" t="s">
        <v>358</v>
      </c>
      <c r="E288" s="97" t="s">
        <v>359</v>
      </c>
      <c r="F288" s="97" t="s">
        <v>83</v>
      </c>
      <c r="G288" s="97" t="s">
        <v>178</v>
      </c>
      <c r="H288" s="97" t="s">
        <v>347</v>
      </c>
      <c r="I288" s="162"/>
      <c r="J288" s="162"/>
      <c r="K288" s="98">
        <v>5000</v>
      </c>
      <c r="L288" s="99">
        <v>4075</v>
      </c>
      <c r="M288" s="98">
        <v>20000</v>
      </c>
      <c r="N288" s="99">
        <v>0</v>
      </c>
      <c r="O288" s="342">
        <v>20000</v>
      </c>
      <c r="P288" s="99">
        <v>1700</v>
      </c>
      <c r="Q288" s="141">
        <v>20000</v>
      </c>
      <c r="R288" s="142">
        <v>20000</v>
      </c>
    </row>
    <row r="289" spans="1:20" ht="13.5" thickBot="1">
      <c r="A289" s="95" t="s">
        <v>64</v>
      </c>
      <c r="B289" s="96" t="s">
        <v>57</v>
      </c>
      <c r="C289" s="96" t="s">
        <v>342</v>
      </c>
      <c r="D289" s="97" t="s">
        <v>358</v>
      </c>
      <c r="E289" s="97" t="s">
        <v>359</v>
      </c>
      <c r="F289" s="97" t="s">
        <v>86</v>
      </c>
      <c r="G289" s="97" t="s">
        <v>179</v>
      </c>
      <c r="H289" s="97" t="s">
        <v>347</v>
      </c>
      <c r="I289" s="162"/>
      <c r="J289" s="162"/>
      <c r="K289" s="98">
        <v>16250</v>
      </c>
      <c r="L289" s="99">
        <v>4002.68</v>
      </c>
      <c r="M289" s="98">
        <v>16250</v>
      </c>
      <c r="N289" s="99">
        <v>2368.27</v>
      </c>
      <c r="O289" s="342">
        <v>16250</v>
      </c>
      <c r="P289" s="99">
        <v>209.61</v>
      </c>
      <c r="Q289" s="141">
        <f>16250-2500</f>
        <v>13750</v>
      </c>
      <c r="R289" s="142">
        <f>16250-4100</f>
        <v>12150</v>
      </c>
      <c r="S289" s="308"/>
      <c r="T289" s="308"/>
    </row>
    <row r="290" spans="1:20" ht="13.5" thickBot="1">
      <c r="A290" s="95" t="s">
        <v>64</v>
      </c>
      <c r="B290" s="96" t="s">
        <v>57</v>
      </c>
      <c r="C290" s="96" t="s">
        <v>342</v>
      </c>
      <c r="D290" s="97" t="s">
        <v>358</v>
      </c>
      <c r="E290" s="97" t="s">
        <v>359</v>
      </c>
      <c r="F290" s="97" t="s">
        <v>89</v>
      </c>
      <c r="G290" s="97" t="s">
        <v>183</v>
      </c>
      <c r="H290" s="97" t="s">
        <v>347</v>
      </c>
      <c r="I290" s="162"/>
      <c r="J290" s="162"/>
      <c r="K290" s="98">
        <v>1000</v>
      </c>
      <c r="L290" s="99">
        <v>0</v>
      </c>
      <c r="M290" s="98">
        <v>1000</v>
      </c>
      <c r="N290" s="99">
        <v>285.56</v>
      </c>
      <c r="O290" s="342">
        <v>1000</v>
      </c>
      <c r="P290" s="99">
        <v>0</v>
      </c>
      <c r="Q290" s="141">
        <v>1000</v>
      </c>
      <c r="R290" s="142">
        <v>1000</v>
      </c>
      <c r="S290" s="308"/>
      <c r="T290" s="308"/>
    </row>
    <row r="291" spans="1:20" ht="13.5" thickBot="1">
      <c r="A291" s="95" t="s">
        <v>64</v>
      </c>
      <c r="B291" s="96" t="s">
        <v>57</v>
      </c>
      <c r="C291" s="96" t="s">
        <v>342</v>
      </c>
      <c r="D291" s="97" t="s">
        <v>358</v>
      </c>
      <c r="E291" s="97" t="s">
        <v>359</v>
      </c>
      <c r="F291" s="97" t="s">
        <v>90</v>
      </c>
      <c r="G291" s="97" t="s">
        <v>184</v>
      </c>
      <c r="H291" s="97" t="s">
        <v>347</v>
      </c>
      <c r="I291" s="162"/>
      <c r="J291" s="162"/>
      <c r="K291" s="98">
        <v>5260</v>
      </c>
      <c r="L291" s="99">
        <v>1921.42</v>
      </c>
      <c r="M291" s="98">
        <v>5260</v>
      </c>
      <c r="N291" s="99">
        <v>1573</v>
      </c>
      <c r="O291" s="342">
        <v>5260</v>
      </c>
      <c r="P291" s="99">
        <v>195</v>
      </c>
      <c r="Q291" s="141">
        <v>5260</v>
      </c>
      <c r="R291" s="142">
        <v>5260</v>
      </c>
      <c r="S291" s="308"/>
      <c r="T291" s="308"/>
    </row>
    <row r="292" spans="1:20" ht="13.5" thickBot="1">
      <c r="A292" s="95" t="s">
        <v>64</v>
      </c>
      <c r="B292" s="96" t="s">
        <v>57</v>
      </c>
      <c r="C292" s="96" t="s">
        <v>342</v>
      </c>
      <c r="D292" s="97" t="s">
        <v>358</v>
      </c>
      <c r="E292" s="97" t="s">
        <v>359</v>
      </c>
      <c r="F292" s="97" t="s">
        <v>93</v>
      </c>
      <c r="G292" s="97" t="s">
        <v>310</v>
      </c>
      <c r="H292" s="97" t="s">
        <v>347</v>
      </c>
      <c r="I292" s="162"/>
      <c r="J292" s="162"/>
      <c r="K292" s="163"/>
      <c r="L292" s="164"/>
      <c r="M292" s="163"/>
      <c r="N292" s="164"/>
      <c r="O292" s="342">
        <v>0</v>
      </c>
      <c r="P292" s="99">
        <v>0</v>
      </c>
      <c r="Q292" s="141"/>
      <c r="R292" s="142"/>
      <c r="S292" s="308"/>
      <c r="T292" s="66"/>
    </row>
    <row r="293" spans="1:20" ht="13.5" thickBot="1">
      <c r="A293" s="95" t="s">
        <v>64</v>
      </c>
      <c r="B293" s="96" t="s">
        <v>57</v>
      </c>
      <c r="C293" s="96" t="s">
        <v>342</v>
      </c>
      <c r="D293" s="97" t="s">
        <v>358</v>
      </c>
      <c r="E293" s="97" t="s">
        <v>359</v>
      </c>
      <c r="F293" s="97" t="s">
        <v>99</v>
      </c>
      <c r="G293" s="97" t="s">
        <v>363</v>
      </c>
      <c r="H293" s="97" t="s">
        <v>347</v>
      </c>
      <c r="I293" s="162"/>
      <c r="J293" s="162"/>
      <c r="K293" s="98">
        <v>4250</v>
      </c>
      <c r="L293" s="99">
        <v>0</v>
      </c>
      <c r="M293" s="98">
        <v>4250</v>
      </c>
      <c r="N293" s="99">
        <v>0</v>
      </c>
      <c r="O293" s="342">
        <v>4250</v>
      </c>
      <c r="P293" s="99">
        <v>0</v>
      </c>
      <c r="Q293" s="141">
        <v>4250</v>
      </c>
      <c r="R293" s="142">
        <v>4250</v>
      </c>
      <c r="S293" s="308"/>
      <c r="T293" s="308"/>
    </row>
    <row r="294" spans="1:20" ht="13.5" thickBot="1">
      <c r="A294" s="95" t="s">
        <v>64</v>
      </c>
      <c r="B294" s="96" t="s">
        <v>57</v>
      </c>
      <c r="C294" s="96" t="s">
        <v>342</v>
      </c>
      <c r="D294" s="97" t="s">
        <v>358</v>
      </c>
      <c r="E294" s="97" t="s">
        <v>359</v>
      </c>
      <c r="F294" s="97" t="s">
        <v>106</v>
      </c>
      <c r="G294" s="97" t="s">
        <v>185</v>
      </c>
      <c r="H294" s="97" t="s">
        <v>347</v>
      </c>
      <c r="I294" s="162"/>
      <c r="J294" s="162"/>
      <c r="K294" s="98">
        <v>5000</v>
      </c>
      <c r="L294" s="99">
        <v>5000</v>
      </c>
      <c r="M294" s="98">
        <v>5500</v>
      </c>
      <c r="N294" s="99">
        <v>5557.44</v>
      </c>
      <c r="O294" s="342">
        <v>5500</v>
      </c>
      <c r="P294" s="99">
        <v>55563.01</v>
      </c>
      <c r="Q294" s="141">
        <v>5500</v>
      </c>
      <c r="R294" s="142">
        <v>5500</v>
      </c>
      <c r="S294" s="308"/>
      <c r="T294" s="66"/>
    </row>
    <row r="295" spans="1:20" ht="13.5" thickBot="1">
      <c r="A295" s="95" t="s">
        <v>64</v>
      </c>
      <c r="B295" s="96" t="s">
        <v>57</v>
      </c>
      <c r="C295" s="96" t="s">
        <v>342</v>
      </c>
      <c r="D295" s="97" t="s">
        <v>358</v>
      </c>
      <c r="E295" s="97" t="s">
        <v>359</v>
      </c>
      <c r="F295" s="97" t="s">
        <v>108</v>
      </c>
      <c r="G295" s="97" t="s">
        <v>332</v>
      </c>
      <c r="H295" s="97" t="s">
        <v>347</v>
      </c>
      <c r="I295" s="162"/>
      <c r="J295" s="162"/>
      <c r="K295" s="163"/>
      <c r="L295" s="164"/>
      <c r="M295" s="163"/>
      <c r="N295" s="164"/>
      <c r="O295" s="342">
        <v>0</v>
      </c>
      <c r="P295" s="99">
        <v>0</v>
      </c>
      <c r="Q295" s="141"/>
      <c r="R295" s="142"/>
      <c r="S295" s="308"/>
      <c r="T295" s="66"/>
    </row>
    <row r="296" spans="1:20" ht="13.5" thickBot="1">
      <c r="A296" s="95" t="s">
        <v>64</v>
      </c>
      <c r="B296" s="96" t="s">
        <v>57</v>
      </c>
      <c r="C296" s="96" t="s">
        <v>342</v>
      </c>
      <c r="D296" s="97" t="s">
        <v>358</v>
      </c>
      <c r="E296" s="97" t="s">
        <v>359</v>
      </c>
      <c r="F296" s="97" t="s">
        <v>122</v>
      </c>
      <c r="G296" s="97" t="s">
        <v>205</v>
      </c>
      <c r="H296" s="97" t="s">
        <v>347</v>
      </c>
      <c r="I296" s="162"/>
      <c r="J296" s="162"/>
      <c r="K296" s="163"/>
      <c r="L296" s="164"/>
      <c r="M296" s="163"/>
      <c r="N296" s="164"/>
      <c r="O296" s="342">
        <v>0</v>
      </c>
      <c r="P296" s="99">
        <v>1750</v>
      </c>
      <c r="Q296" s="141"/>
      <c r="R296" s="142"/>
      <c r="S296" s="308"/>
      <c r="T296" s="308"/>
    </row>
    <row r="297" spans="1:20" ht="13.5" thickBot="1">
      <c r="A297" s="95" t="s">
        <v>64</v>
      </c>
      <c r="B297" s="96" t="s">
        <v>57</v>
      </c>
      <c r="C297" s="96" t="s">
        <v>342</v>
      </c>
      <c r="D297" s="97" t="s">
        <v>358</v>
      </c>
      <c r="E297" s="97" t="s">
        <v>359</v>
      </c>
      <c r="F297" s="97" t="s">
        <v>125</v>
      </c>
      <c r="G297" s="97" t="s">
        <v>214</v>
      </c>
      <c r="H297" s="97" t="s">
        <v>347</v>
      </c>
      <c r="I297" s="162"/>
      <c r="J297" s="162"/>
      <c r="K297" s="163"/>
      <c r="L297" s="164"/>
      <c r="M297" s="98">
        <v>0</v>
      </c>
      <c r="N297" s="99">
        <v>15.5</v>
      </c>
      <c r="O297" s="341"/>
      <c r="P297" s="164"/>
      <c r="Q297" s="141"/>
      <c r="R297" s="142"/>
      <c r="S297" s="308"/>
      <c r="T297" s="308"/>
    </row>
    <row r="298" spans="1:20" ht="13.5" thickBot="1">
      <c r="A298" s="95" t="s">
        <v>64</v>
      </c>
      <c r="B298" s="96" t="s">
        <v>57</v>
      </c>
      <c r="C298" s="96" t="s">
        <v>342</v>
      </c>
      <c r="D298" s="97" t="s">
        <v>358</v>
      </c>
      <c r="E298" s="97" t="s">
        <v>359</v>
      </c>
      <c r="F298" s="97" t="s">
        <v>136</v>
      </c>
      <c r="G298" s="97" t="s">
        <v>254</v>
      </c>
      <c r="H298" s="97" t="s">
        <v>347</v>
      </c>
      <c r="I298" s="162"/>
      <c r="J298" s="162"/>
      <c r="K298" s="98">
        <v>21000</v>
      </c>
      <c r="L298" s="99">
        <v>14463.32</v>
      </c>
      <c r="M298" s="98">
        <v>21000</v>
      </c>
      <c r="N298" s="99">
        <v>12271.6</v>
      </c>
      <c r="O298" s="342">
        <v>21000</v>
      </c>
      <c r="P298" s="99">
        <v>0</v>
      </c>
      <c r="Q298" s="143">
        <v>48376</v>
      </c>
      <c r="R298" s="143">
        <v>48376</v>
      </c>
      <c r="S298" s="1" t="s">
        <v>364</v>
      </c>
      <c r="T298" s="308"/>
    </row>
    <row r="299" spans="1:20" ht="13.5" thickBot="1">
      <c r="A299" s="95" t="s">
        <v>64</v>
      </c>
      <c r="B299" s="96" t="s">
        <v>57</v>
      </c>
      <c r="C299" s="96" t="s">
        <v>342</v>
      </c>
      <c r="D299" s="97" t="s">
        <v>358</v>
      </c>
      <c r="E299" s="97" t="s">
        <v>359</v>
      </c>
      <c r="F299" s="97" t="s">
        <v>143</v>
      </c>
      <c r="G299" s="97" t="s">
        <v>207</v>
      </c>
      <c r="H299" s="97" t="s">
        <v>347</v>
      </c>
      <c r="I299" s="162"/>
      <c r="J299" s="162"/>
      <c r="K299" s="98">
        <v>2000</v>
      </c>
      <c r="L299" s="99">
        <v>0</v>
      </c>
      <c r="M299" s="98">
        <v>2000</v>
      </c>
      <c r="N299" s="99">
        <v>0</v>
      </c>
      <c r="O299" s="342">
        <v>2000</v>
      </c>
      <c r="P299" s="99">
        <v>0</v>
      </c>
      <c r="Q299" s="141">
        <v>2000</v>
      </c>
      <c r="R299" s="142">
        <v>2000</v>
      </c>
      <c r="S299" s="308"/>
      <c r="T299" s="308"/>
    </row>
    <row r="300" spans="1:20" ht="13.5" thickBot="1">
      <c r="A300" s="95" t="s">
        <v>64</v>
      </c>
      <c r="B300" s="96" t="s">
        <v>57</v>
      </c>
      <c r="C300" s="96" t="s">
        <v>342</v>
      </c>
      <c r="D300" s="97" t="s">
        <v>358</v>
      </c>
      <c r="E300" s="97" t="s">
        <v>359</v>
      </c>
      <c r="F300" s="97" t="s">
        <v>145</v>
      </c>
      <c r="G300" s="97" t="s">
        <v>227</v>
      </c>
      <c r="H300" s="97" t="s">
        <v>347</v>
      </c>
      <c r="I300" s="162"/>
      <c r="J300" s="162"/>
      <c r="K300" s="98">
        <v>0</v>
      </c>
      <c r="L300" s="99">
        <v>282.39999999999998</v>
      </c>
      <c r="M300" s="163"/>
      <c r="N300" s="164"/>
      <c r="O300" s="341"/>
      <c r="P300" s="164"/>
      <c r="Q300" s="141"/>
      <c r="R300" s="142"/>
      <c r="S300" s="308"/>
      <c r="T300" s="308"/>
    </row>
    <row r="301" spans="1:20" ht="13.5" thickBot="1">
      <c r="A301" s="95" t="s">
        <v>64</v>
      </c>
      <c r="B301" s="96" t="s">
        <v>57</v>
      </c>
      <c r="C301" s="96" t="s">
        <v>342</v>
      </c>
      <c r="D301" s="97" t="s">
        <v>365</v>
      </c>
      <c r="E301" s="97" t="s">
        <v>366</v>
      </c>
      <c r="F301" s="97" t="s">
        <v>72</v>
      </c>
      <c r="G301" s="97" t="s">
        <v>290</v>
      </c>
      <c r="H301" s="97" t="s">
        <v>345</v>
      </c>
      <c r="I301" s="162"/>
      <c r="J301" s="162"/>
      <c r="K301" s="163"/>
      <c r="L301" s="164"/>
      <c r="M301" s="163"/>
      <c r="N301" s="164"/>
      <c r="O301" s="342">
        <v>0</v>
      </c>
      <c r="P301" s="99">
        <v>304.55</v>
      </c>
      <c r="Q301" s="141">
        <v>1000</v>
      </c>
      <c r="R301" s="142">
        <v>1000</v>
      </c>
      <c r="S301" s="308"/>
      <c r="T301" s="308"/>
    </row>
    <row r="302" spans="1:20" ht="13.5" thickBot="1">
      <c r="A302" s="95" t="s">
        <v>64</v>
      </c>
      <c r="B302" s="96" t="s">
        <v>57</v>
      </c>
      <c r="C302" s="96" t="s">
        <v>342</v>
      </c>
      <c r="D302" s="97" t="s">
        <v>367</v>
      </c>
      <c r="E302" s="97" t="s">
        <v>368</v>
      </c>
      <c r="F302" s="97" t="s">
        <v>72</v>
      </c>
      <c r="G302" s="97" t="s">
        <v>290</v>
      </c>
      <c r="H302" s="97" t="s">
        <v>345</v>
      </c>
      <c r="I302" s="162"/>
      <c r="J302" s="162"/>
      <c r="K302" s="98">
        <v>0</v>
      </c>
      <c r="L302" s="99">
        <v>488.18</v>
      </c>
      <c r="M302" s="98">
        <v>0</v>
      </c>
      <c r="N302" s="99">
        <v>3.72</v>
      </c>
      <c r="O302" s="342">
        <v>0</v>
      </c>
      <c r="P302" s="99">
        <v>2692.22</v>
      </c>
      <c r="Q302" s="141">
        <v>8000</v>
      </c>
      <c r="R302" s="142">
        <v>8000</v>
      </c>
      <c r="S302" s="308"/>
      <c r="T302" s="308"/>
    </row>
    <row r="303" spans="1:20" ht="13.5" thickBot="1">
      <c r="A303" s="95" t="s">
        <v>64</v>
      </c>
      <c r="B303" s="96" t="s">
        <v>57</v>
      </c>
      <c r="C303" s="96" t="s">
        <v>342</v>
      </c>
      <c r="D303" s="97" t="s">
        <v>367</v>
      </c>
      <c r="E303" s="97" t="s">
        <v>368</v>
      </c>
      <c r="F303" s="97" t="s">
        <v>74</v>
      </c>
      <c r="G303" s="97" t="s">
        <v>234</v>
      </c>
      <c r="H303" s="97" t="s">
        <v>345</v>
      </c>
      <c r="I303" s="162"/>
      <c r="J303" s="162"/>
      <c r="K303" s="98">
        <v>0</v>
      </c>
      <c r="L303" s="99">
        <v>27107.71</v>
      </c>
      <c r="M303" s="98">
        <v>0</v>
      </c>
      <c r="N303" s="99">
        <v>25877.119999999999</v>
      </c>
      <c r="O303" s="341"/>
      <c r="P303" s="164"/>
      <c r="Q303" s="141"/>
      <c r="R303" s="142"/>
      <c r="S303" s="308"/>
      <c r="T303" s="308"/>
    </row>
    <row r="304" spans="1:20" ht="13.5" thickBot="1">
      <c r="A304" s="95" t="s">
        <v>64</v>
      </c>
      <c r="B304" s="96" t="s">
        <v>57</v>
      </c>
      <c r="C304" s="96" t="s">
        <v>342</v>
      </c>
      <c r="D304" s="97" t="s">
        <v>369</v>
      </c>
      <c r="E304" s="97" t="s">
        <v>370</v>
      </c>
      <c r="F304" s="97" t="s">
        <v>78</v>
      </c>
      <c r="G304" s="97" t="s">
        <v>176</v>
      </c>
      <c r="H304" s="97" t="s">
        <v>345</v>
      </c>
      <c r="I304" s="162"/>
      <c r="J304" s="162"/>
      <c r="K304" s="98">
        <v>500</v>
      </c>
      <c r="L304" s="99">
        <v>274.27999999999997</v>
      </c>
      <c r="M304" s="98">
        <v>500</v>
      </c>
      <c r="N304" s="99">
        <v>0</v>
      </c>
      <c r="O304" s="342">
        <v>500</v>
      </c>
      <c r="P304" s="99">
        <v>0</v>
      </c>
      <c r="Q304" s="141"/>
      <c r="R304" s="142"/>
      <c r="S304" s="308"/>
      <c r="T304" s="308"/>
    </row>
    <row r="305" spans="1:19" ht="13.5" thickBot="1">
      <c r="A305" s="95" t="s">
        <v>64</v>
      </c>
      <c r="B305" s="96" t="s">
        <v>57</v>
      </c>
      <c r="C305" s="96" t="s">
        <v>342</v>
      </c>
      <c r="D305" s="97" t="s">
        <v>369</v>
      </c>
      <c r="E305" s="97" t="s">
        <v>370</v>
      </c>
      <c r="F305" s="97" t="s">
        <v>86</v>
      </c>
      <c r="G305" s="97" t="s">
        <v>179</v>
      </c>
      <c r="H305" s="97" t="s">
        <v>345</v>
      </c>
      <c r="I305" s="162"/>
      <c r="J305" s="162"/>
      <c r="K305" s="98">
        <v>200</v>
      </c>
      <c r="L305" s="99">
        <v>0</v>
      </c>
      <c r="M305" s="98">
        <v>200</v>
      </c>
      <c r="N305" s="99">
        <v>0</v>
      </c>
      <c r="O305" s="342">
        <v>200</v>
      </c>
      <c r="P305" s="99">
        <v>0</v>
      </c>
      <c r="Q305" s="141">
        <v>0</v>
      </c>
      <c r="R305" s="142">
        <v>0</v>
      </c>
      <c r="S305" s="308"/>
    </row>
    <row r="306" spans="1:19" ht="13.5" thickBot="1">
      <c r="A306" s="95" t="s">
        <v>64</v>
      </c>
      <c r="B306" s="96" t="s">
        <v>57</v>
      </c>
      <c r="C306" s="96" t="s">
        <v>342</v>
      </c>
      <c r="D306" s="97" t="s">
        <v>371</v>
      </c>
      <c r="E306" s="97" t="s">
        <v>372</v>
      </c>
      <c r="F306" s="97" t="s">
        <v>72</v>
      </c>
      <c r="G306" s="97" t="s">
        <v>290</v>
      </c>
      <c r="H306" s="97" t="s">
        <v>345</v>
      </c>
      <c r="I306" s="162"/>
      <c r="J306" s="162"/>
      <c r="K306" s="163"/>
      <c r="L306" s="164"/>
      <c r="M306" s="163"/>
      <c r="N306" s="164"/>
      <c r="O306" s="342">
        <v>0</v>
      </c>
      <c r="P306" s="99">
        <v>380.66</v>
      </c>
      <c r="Q306" s="141"/>
      <c r="R306" s="142"/>
      <c r="S306" s="308"/>
    </row>
    <row r="307" spans="1:19" ht="13.5" thickBot="1">
      <c r="A307" s="95" t="s">
        <v>64</v>
      </c>
      <c r="B307" s="96" t="s">
        <v>57</v>
      </c>
      <c r="C307" s="96" t="s">
        <v>342</v>
      </c>
      <c r="D307" s="97" t="s">
        <v>371</v>
      </c>
      <c r="E307" s="97" t="s">
        <v>372</v>
      </c>
      <c r="F307" s="97" t="s">
        <v>74</v>
      </c>
      <c r="G307" s="97" t="s">
        <v>234</v>
      </c>
      <c r="H307" s="97" t="s">
        <v>345</v>
      </c>
      <c r="I307" s="97" t="s">
        <v>194</v>
      </c>
      <c r="J307" s="162"/>
      <c r="K307" s="98">
        <v>0</v>
      </c>
      <c r="L307" s="99">
        <v>6223.33</v>
      </c>
      <c r="M307" s="163"/>
      <c r="N307" s="164"/>
      <c r="O307" s="341"/>
      <c r="P307" s="164"/>
      <c r="Q307" s="141"/>
      <c r="R307" s="142"/>
      <c r="S307" s="308"/>
    </row>
    <row r="308" spans="1:19" ht="13.5" thickBot="1">
      <c r="A308" s="95" t="s">
        <v>64</v>
      </c>
      <c r="B308" s="96" t="s">
        <v>57</v>
      </c>
      <c r="C308" s="96" t="s">
        <v>342</v>
      </c>
      <c r="D308" s="97" t="s">
        <v>371</v>
      </c>
      <c r="E308" s="97" t="s">
        <v>372</v>
      </c>
      <c r="F308" s="97" t="s">
        <v>78</v>
      </c>
      <c r="G308" s="97" t="s">
        <v>176</v>
      </c>
      <c r="H308" s="97" t="s">
        <v>345</v>
      </c>
      <c r="I308" s="162"/>
      <c r="J308" s="162"/>
      <c r="K308" s="98">
        <v>390</v>
      </c>
      <c r="L308" s="99">
        <v>452.1</v>
      </c>
      <c r="M308" s="98">
        <v>500</v>
      </c>
      <c r="N308" s="99">
        <v>86.06</v>
      </c>
      <c r="O308" s="342">
        <v>500</v>
      </c>
      <c r="P308" s="99">
        <v>0</v>
      </c>
      <c r="Q308" s="141">
        <v>0</v>
      </c>
      <c r="R308" s="142">
        <v>0</v>
      </c>
      <c r="S308" s="308"/>
    </row>
    <row r="309" spans="1:19" ht="13.5" thickBot="1">
      <c r="A309" s="95" t="s">
        <v>64</v>
      </c>
      <c r="B309" s="96" t="s">
        <v>57</v>
      </c>
      <c r="C309" s="96" t="s">
        <v>342</v>
      </c>
      <c r="D309" s="97" t="s">
        <v>371</v>
      </c>
      <c r="E309" s="97" t="s">
        <v>372</v>
      </c>
      <c r="F309" s="97" t="s">
        <v>86</v>
      </c>
      <c r="G309" s="97" t="s">
        <v>179</v>
      </c>
      <c r="H309" s="97" t="s">
        <v>345</v>
      </c>
      <c r="I309" s="162"/>
      <c r="J309" s="162"/>
      <c r="K309" s="103">
        <v>200</v>
      </c>
      <c r="L309" s="104">
        <v>0</v>
      </c>
      <c r="M309" s="103">
        <v>200</v>
      </c>
      <c r="N309" s="104">
        <v>0</v>
      </c>
      <c r="O309" s="345">
        <v>200</v>
      </c>
      <c r="P309" s="104">
        <v>0</v>
      </c>
      <c r="Q309" s="144">
        <v>0</v>
      </c>
      <c r="R309" s="145">
        <v>0</v>
      </c>
      <c r="S309" s="308"/>
    </row>
    <row r="310" spans="1:19" s="100" customFormat="1" ht="14.25" customHeight="1" thickBot="1">
      <c r="A310" s="95" t="s">
        <v>64</v>
      </c>
      <c r="B310" s="96" t="s">
        <v>60</v>
      </c>
      <c r="C310" s="105" t="s">
        <v>373</v>
      </c>
      <c r="D310" s="97" t="s">
        <v>374</v>
      </c>
      <c r="E310" s="97" t="s">
        <v>375</v>
      </c>
      <c r="F310" s="97" t="s">
        <v>72</v>
      </c>
      <c r="G310" s="97" t="s">
        <v>290</v>
      </c>
      <c r="H310" s="97" t="s">
        <v>376</v>
      </c>
      <c r="I310" s="162"/>
      <c r="J310" s="162"/>
      <c r="K310" s="98">
        <v>0</v>
      </c>
      <c r="L310" s="99">
        <v>572.79</v>
      </c>
      <c r="M310" s="98">
        <v>0</v>
      </c>
      <c r="N310" s="99">
        <v>1425.06</v>
      </c>
      <c r="O310" s="342">
        <v>0</v>
      </c>
      <c r="P310" s="99">
        <v>416.31</v>
      </c>
      <c r="Q310" s="117"/>
      <c r="R310" s="117"/>
      <c r="S310" s="373" t="s">
        <v>377</v>
      </c>
    </row>
    <row r="311" spans="1:19" s="100" customFormat="1" ht="14.25" customHeight="1" thickBot="1">
      <c r="A311" s="95" t="s">
        <v>64</v>
      </c>
      <c r="B311" s="96" t="s">
        <v>60</v>
      </c>
      <c r="C311" s="105" t="s">
        <v>373</v>
      </c>
      <c r="D311" s="97" t="s">
        <v>374</v>
      </c>
      <c r="E311" s="97" t="s">
        <v>375</v>
      </c>
      <c r="F311" s="97" t="s">
        <v>72</v>
      </c>
      <c r="G311" s="97" t="s">
        <v>290</v>
      </c>
      <c r="H311" s="97" t="s">
        <v>376</v>
      </c>
      <c r="I311" s="97" t="s">
        <v>194</v>
      </c>
      <c r="J311" s="162"/>
      <c r="K311" s="98">
        <v>2000</v>
      </c>
      <c r="L311" s="99">
        <v>0</v>
      </c>
      <c r="M311" s="163"/>
      <c r="N311" s="164"/>
      <c r="O311" s="341"/>
      <c r="P311" s="164"/>
      <c r="Q311" s="117"/>
      <c r="R311" s="117"/>
      <c r="S311" s="373"/>
    </row>
    <row r="312" spans="1:19" s="100" customFormat="1" ht="13.5" thickBot="1">
      <c r="A312" s="95" t="s">
        <v>64</v>
      </c>
      <c r="B312" s="96" t="s">
        <v>60</v>
      </c>
      <c r="C312" s="105" t="s">
        <v>373</v>
      </c>
      <c r="D312" s="97" t="s">
        <v>374</v>
      </c>
      <c r="E312" s="97" t="s">
        <v>375</v>
      </c>
      <c r="F312" s="97" t="s">
        <v>72</v>
      </c>
      <c r="G312" s="97" t="s">
        <v>290</v>
      </c>
      <c r="H312" s="97" t="s">
        <v>378</v>
      </c>
      <c r="I312" s="162"/>
      <c r="J312" s="162"/>
      <c r="K312" s="163"/>
      <c r="L312" s="164"/>
      <c r="M312" s="98">
        <v>0</v>
      </c>
      <c r="N312" s="99">
        <v>5626.37</v>
      </c>
      <c r="O312" s="341"/>
      <c r="P312" s="164"/>
      <c r="Q312" s="117"/>
      <c r="R312" s="117"/>
      <c r="S312" s="106"/>
    </row>
    <row r="313" spans="1:19" s="100" customFormat="1" ht="13.5" thickBot="1">
      <c r="A313" s="95" t="s">
        <v>64</v>
      </c>
      <c r="B313" s="96" t="s">
        <v>60</v>
      </c>
      <c r="C313" s="105" t="s">
        <v>373</v>
      </c>
      <c r="D313" s="97" t="s">
        <v>374</v>
      </c>
      <c r="E313" s="97" t="s">
        <v>375</v>
      </c>
      <c r="F313" s="97">
        <v>2999</v>
      </c>
      <c r="G313" s="97" t="s">
        <v>290</v>
      </c>
      <c r="H313" s="97" t="s">
        <v>378</v>
      </c>
      <c r="I313" s="162"/>
      <c r="J313" s="162"/>
      <c r="K313" s="163"/>
      <c r="L313" s="164"/>
      <c r="M313" s="98">
        <v>0</v>
      </c>
      <c r="N313" s="99">
        <v>5626.37</v>
      </c>
      <c r="O313" s="341"/>
      <c r="P313" s="164"/>
      <c r="Q313" s="117">
        <f>325000/6</f>
        <v>54166.666666666664</v>
      </c>
      <c r="R313" s="117"/>
      <c r="S313" s="106" t="s">
        <v>379</v>
      </c>
    </row>
    <row r="314" spans="1:19" s="100" customFormat="1" ht="13.5" thickBot="1">
      <c r="A314" s="95" t="s">
        <v>64</v>
      </c>
      <c r="B314" s="96" t="s">
        <v>60</v>
      </c>
      <c r="C314" s="105" t="s">
        <v>373</v>
      </c>
      <c r="D314" s="97" t="s">
        <v>374</v>
      </c>
      <c r="E314" s="97" t="s">
        <v>375</v>
      </c>
      <c r="F314" s="97" t="s">
        <v>75</v>
      </c>
      <c r="G314" s="97" t="s">
        <v>174</v>
      </c>
      <c r="H314" s="97" t="s">
        <v>380</v>
      </c>
      <c r="I314" s="162"/>
      <c r="J314" s="162"/>
      <c r="K314" s="98">
        <v>3200</v>
      </c>
      <c r="L314" s="99">
        <v>2483.48</v>
      </c>
      <c r="M314" s="98">
        <v>3200</v>
      </c>
      <c r="N314" s="99">
        <v>2605.8200000000002</v>
      </c>
      <c r="O314" s="342">
        <v>3200</v>
      </c>
      <c r="P314" s="99">
        <v>0</v>
      </c>
      <c r="Q314" s="117">
        <v>3000</v>
      </c>
      <c r="R314" s="117">
        <v>3000</v>
      </c>
      <c r="S314" s="106"/>
    </row>
    <row r="315" spans="1:19" s="100" customFormat="1" ht="13.5" thickBot="1">
      <c r="A315" s="95" t="s">
        <v>64</v>
      </c>
      <c r="B315" s="96" t="s">
        <v>60</v>
      </c>
      <c r="C315" s="105" t="s">
        <v>373</v>
      </c>
      <c r="D315" s="97" t="s">
        <v>374</v>
      </c>
      <c r="E315" s="97" t="s">
        <v>375</v>
      </c>
      <c r="F315" s="97" t="s">
        <v>78</v>
      </c>
      <c r="G315" s="97" t="s">
        <v>176</v>
      </c>
      <c r="H315" s="97" t="s">
        <v>380</v>
      </c>
      <c r="I315" s="162"/>
      <c r="J315" s="162"/>
      <c r="K315" s="98">
        <v>40000</v>
      </c>
      <c r="L315" s="99">
        <v>21794.98</v>
      </c>
      <c r="M315" s="98">
        <v>35000</v>
      </c>
      <c r="N315" s="99">
        <v>15360.39</v>
      </c>
      <c r="O315" s="342">
        <v>35000</v>
      </c>
      <c r="P315" s="99">
        <v>280.89999999999998</v>
      </c>
      <c r="Q315" s="117">
        <v>35000</v>
      </c>
      <c r="R315" s="117">
        <v>30000</v>
      </c>
      <c r="S315" s="106"/>
    </row>
    <row r="316" spans="1:19" s="100" customFormat="1" ht="13.5" thickBot="1">
      <c r="A316" s="95" t="s">
        <v>64</v>
      </c>
      <c r="B316" s="96" t="s">
        <v>60</v>
      </c>
      <c r="C316" s="105" t="s">
        <v>373</v>
      </c>
      <c r="D316" s="97" t="s">
        <v>374</v>
      </c>
      <c r="E316" s="97" t="s">
        <v>375</v>
      </c>
      <c r="F316" s="97" t="s">
        <v>78</v>
      </c>
      <c r="G316" s="97" t="s">
        <v>176</v>
      </c>
      <c r="H316" s="97" t="s">
        <v>239</v>
      </c>
      <c r="I316" s="162"/>
      <c r="J316" s="162"/>
      <c r="K316" s="98">
        <v>14000</v>
      </c>
      <c r="L316" s="99">
        <v>13550.39</v>
      </c>
      <c r="M316" s="98">
        <v>14000</v>
      </c>
      <c r="N316" s="99">
        <v>13364.51</v>
      </c>
      <c r="O316" s="342">
        <v>14000</v>
      </c>
      <c r="P316" s="99">
        <v>1362.69</v>
      </c>
      <c r="Q316" s="117">
        <v>14000</v>
      </c>
      <c r="R316" s="117">
        <v>14000</v>
      </c>
      <c r="S316" s="106"/>
    </row>
    <row r="317" spans="1:19" s="100" customFormat="1" ht="13.5" thickBot="1">
      <c r="A317" s="95" t="s">
        <v>64</v>
      </c>
      <c r="B317" s="96" t="s">
        <v>60</v>
      </c>
      <c r="C317" s="105" t="s">
        <v>373</v>
      </c>
      <c r="D317" s="97" t="s">
        <v>374</v>
      </c>
      <c r="E317" s="97" t="s">
        <v>375</v>
      </c>
      <c r="F317" s="97" t="s">
        <v>81</v>
      </c>
      <c r="G317" s="97" t="s">
        <v>381</v>
      </c>
      <c r="H317" s="97" t="s">
        <v>239</v>
      </c>
      <c r="I317" s="162"/>
      <c r="J317" s="162"/>
      <c r="K317" s="98">
        <v>3000</v>
      </c>
      <c r="L317" s="99">
        <v>3993.61</v>
      </c>
      <c r="M317" s="98">
        <v>5500</v>
      </c>
      <c r="N317" s="99">
        <v>3489.58</v>
      </c>
      <c r="O317" s="342">
        <v>5500</v>
      </c>
      <c r="P317" s="99">
        <v>875.62</v>
      </c>
      <c r="Q317" s="117">
        <v>5500</v>
      </c>
      <c r="R317" s="117">
        <v>5500</v>
      </c>
      <c r="S317" s="106"/>
    </row>
    <row r="318" spans="1:19" s="100" customFormat="1" ht="13.5" thickBot="1">
      <c r="A318" s="95" t="s">
        <v>64</v>
      </c>
      <c r="B318" s="96" t="s">
        <v>60</v>
      </c>
      <c r="C318" s="105" t="s">
        <v>373</v>
      </c>
      <c r="D318" s="97" t="s">
        <v>374</v>
      </c>
      <c r="E318" s="97" t="s">
        <v>375</v>
      </c>
      <c r="F318" s="97" t="s">
        <v>83</v>
      </c>
      <c r="G318" s="97" t="s">
        <v>178</v>
      </c>
      <c r="H318" s="97" t="s">
        <v>380</v>
      </c>
      <c r="I318" s="162"/>
      <c r="J318" s="162"/>
      <c r="K318" s="98">
        <v>35000</v>
      </c>
      <c r="L318" s="99">
        <v>0</v>
      </c>
      <c r="M318" s="98">
        <v>30000</v>
      </c>
      <c r="N318" s="99">
        <v>6444</v>
      </c>
      <c r="O318" s="341"/>
      <c r="P318" s="164"/>
      <c r="Q318" s="117"/>
      <c r="R318" s="117"/>
      <c r="S318" s="106"/>
    </row>
    <row r="319" spans="1:19" s="100" customFormat="1" ht="13.5" thickBot="1">
      <c r="A319" s="95" t="s">
        <v>64</v>
      </c>
      <c r="B319" s="96" t="s">
        <v>60</v>
      </c>
      <c r="C319" s="105" t="s">
        <v>373</v>
      </c>
      <c r="D319" s="97" t="s">
        <v>374</v>
      </c>
      <c r="E319" s="97" t="s">
        <v>375</v>
      </c>
      <c r="F319" s="97" t="s">
        <v>86</v>
      </c>
      <c r="G319" s="97" t="s">
        <v>179</v>
      </c>
      <c r="H319" s="97" t="s">
        <v>239</v>
      </c>
      <c r="I319" s="162"/>
      <c r="J319" s="162"/>
      <c r="K319" s="98">
        <v>3500</v>
      </c>
      <c r="L319" s="99">
        <v>975.4</v>
      </c>
      <c r="M319" s="98">
        <v>3500</v>
      </c>
      <c r="N319" s="99">
        <v>951.84</v>
      </c>
      <c r="O319" s="342">
        <v>3500</v>
      </c>
      <c r="P319" s="99">
        <v>0</v>
      </c>
      <c r="Q319" s="117">
        <v>3500</v>
      </c>
      <c r="R319" s="117">
        <v>3500</v>
      </c>
      <c r="S319" s="106"/>
    </row>
    <row r="320" spans="1:19" s="100" customFormat="1" ht="13.5" thickBot="1">
      <c r="A320" s="95" t="s">
        <v>64</v>
      </c>
      <c r="B320" s="96" t="s">
        <v>60</v>
      </c>
      <c r="C320" s="105" t="s">
        <v>373</v>
      </c>
      <c r="D320" s="97" t="s">
        <v>374</v>
      </c>
      <c r="E320" s="97" t="s">
        <v>375</v>
      </c>
      <c r="F320" s="97" t="s">
        <v>86</v>
      </c>
      <c r="G320" s="97" t="s">
        <v>179</v>
      </c>
      <c r="H320" s="97" t="s">
        <v>380</v>
      </c>
      <c r="I320" s="162"/>
      <c r="J320" s="162"/>
      <c r="K320" s="98">
        <v>50000</v>
      </c>
      <c r="L320" s="99">
        <v>0</v>
      </c>
      <c r="M320" s="163"/>
      <c r="N320" s="164"/>
      <c r="O320" s="341"/>
      <c r="P320" s="164"/>
      <c r="Q320" s="117"/>
      <c r="R320" s="117"/>
      <c r="S320" s="106"/>
    </row>
    <row r="321" spans="1:19" s="100" customFormat="1" ht="13.5" thickBot="1">
      <c r="A321" s="95" t="s">
        <v>64</v>
      </c>
      <c r="B321" s="96" t="s">
        <v>60</v>
      </c>
      <c r="C321" s="105" t="s">
        <v>373</v>
      </c>
      <c r="D321" s="97" t="s">
        <v>374</v>
      </c>
      <c r="E321" s="97" t="s">
        <v>375</v>
      </c>
      <c r="F321" s="97" t="s">
        <v>88</v>
      </c>
      <c r="G321" s="97" t="s">
        <v>181</v>
      </c>
      <c r="H321" s="97" t="s">
        <v>380</v>
      </c>
      <c r="I321" s="162"/>
      <c r="J321" s="162"/>
      <c r="K321" s="163"/>
      <c r="L321" s="164"/>
      <c r="M321" s="98">
        <v>50000</v>
      </c>
      <c r="N321" s="99">
        <v>37400</v>
      </c>
      <c r="O321" s="342">
        <v>50000</v>
      </c>
      <c r="P321" s="99">
        <v>127620</v>
      </c>
      <c r="Q321" s="117">
        <v>50000</v>
      </c>
      <c r="R321" s="117">
        <v>50000</v>
      </c>
      <c r="S321" s="107" t="s">
        <v>382</v>
      </c>
    </row>
    <row r="322" spans="1:19" s="100" customFormat="1" ht="13.5" thickBot="1">
      <c r="A322" s="95" t="s">
        <v>64</v>
      </c>
      <c r="B322" s="96" t="s">
        <v>60</v>
      </c>
      <c r="C322" s="105" t="s">
        <v>373</v>
      </c>
      <c r="D322" s="97" t="s">
        <v>374</v>
      </c>
      <c r="E322" s="97" t="s">
        <v>375</v>
      </c>
      <c r="F322" s="97" t="s">
        <v>89</v>
      </c>
      <c r="G322" s="97" t="s">
        <v>183</v>
      </c>
      <c r="H322" s="97" t="s">
        <v>380</v>
      </c>
      <c r="I322" s="162"/>
      <c r="J322" s="162"/>
      <c r="K322" s="98">
        <v>10000</v>
      </c>
      <c r="L322" s="99">
        <v>6897.76</v>
      </c>
      <c r="M322" s="98">
        <v>10000</v>
      </c>
      <c r="N322" s="99">
        <v>3832.86</v>
      </c>
      <c r="O322" s="342">
        <v>8000</v>
      </c>
      <c r="P322" s="99">
        <v>210.35</v>
      </c>
      <c r="Q322" s="117">
        <v>8000</v>
      </c>
      <c r="R322" s="117">
        <v>8000</v>
      </c>
      <c r="S322" s="106"/>
    </row>
    <row r="323" spans="1:19" s="100" customFormat="1" ht="13.5" thickBot="1">
      <c r="A323" s="95" t="s">
        <v>64</v>
      </c>
      <c r="B323" s="96" t="s">
        <v>60</v>
      </c>
      <c r="C323" s="105" t="s">
        <v>373</v>
      </c>
      <c r="D323" s="97" t="s">
        <v>374</v>
      </c>
      <c r="E323" s="97" t="s">
        <v>375</v>
      </c>
      <c r="F323" s="97" t="s">
        <v>96</v>
      </c>
      <c r="G323" s="97" t="s">
        <v>383</v>
      </c>
      <c r="H323" s="97" t="s">
        <v>239</v>
      </c>
      <c r="I323" s="162"/>
      <c r="J323" s="162"/>
      <c r="K323" s="98">
        <v>175000</v>
      </c>
      <c r="L323" s="99">
        <v>155537.88</v>
      </c>
      <c r="M323" s="98">
        <v>175000</v>
      </c>
      <c r="N323" s="99">
        <v>144903.46</v>
      </c>
      <c r="O323" s="342">
        <v>175000</v>
      </c>
      <c r="P323" s="99">
        <v>61805.63</v>
      </c>
      <c r="Q323" s="117">
        <v>175000</v>
      </c>
      <c r="R323" s="117">
        <v>175000</v>
      </c>
      <c r="S323" s="106"/>
    </row>
    <row r="324" spans="1:19" s="100" customFormat="1" ht="13.5" thickBot="1">
      <c r="A324" s="95" t="s">
        <v>64</v>
      </c>
      <c r="B324" s="96" t="s">
        <v>60</v>
      </c>
      <c r="C324" s="105" t="s">
        <v>373</v>
      </c>
      <c r="D324" s="97" t="s">
        <v>374</v>
      </c>
      <c r="E324" s="97" t="s">
        <v>375</v>
      </c>
      <c r="F324" s="97" t="s">
        <v>97</v>
      </c>
      <c r="G324" s="97" t="s">
        <v>384</v>
      </c>
      <c r="H324" s="97" t="s">
        <v>239</v>
      </c>
      <c r="I324" s="162"/>
      <c r="J324" s="162"/>
      <c r="K324" s="98">
        <v>8000</v>
      </c>
      <c r="L324" s="99">
        <v>7637.97</v>
      </c>
      <c r="M324" s="98">
        <v>8500</v>
      </c>
      <c r="N324" s="99">
        <v>7708.18</v>
      </c>
      <c r="O324" s="342">
        <v>8500</v>
      </c>
      <c r="P324" s="99">
        <v>2655.85</v>
      </c>
      <c r="Q324" s="117">
        <v>8500</v>
      </c>
      <c r="R324" s="117">
        <v>8500</v>
      </c>
      <c r="S324" s="106"/>
    </row>
    <row r="325" spans="1:19" s="100" customFormat="1" ht="13.5" thickBot="1">
      <c r="A325" s="95" t="s">
        <v>64</v>
      </c>
      <c r="B325" s="96" t="s">
        <v>60</v>
      </c>
      <c r="C325" s="105" t="s">
        <v>373</v>
      </c>
      <c r="D325" s="97" t="s">
        <v>374</v>
      </c>
      <c r="E325" s="97" t="s">
        <v>375</v>
      </c>
      <c r="F325" s="97" t="s">
        <v>98</v>
      </c>
      <c r="G325" s="97" t="s">
        <v>350</v>
      </c>
      <c r="H325" s="97" t="s">
        <v>380</v>
      </c>
      <c r="I325" s="162"/>
      <c r="J325" s="162"/>
      <c r="K325" s="98">
        <v>0</v>
      </c>
      <c r="L325" s="99">
        <v>1787.52</v>
      </c>
      <c r="M325" s="98">
        <v>3500</v>
      </c>
      <c r="N325" s="99">
        <v>1338.95</v>
      </c>
      <c r="O325" s="342">
        <v>4000</v>
      </c>
      <c r="P325" s="99">
        <v>114</v>
      </c>
      <c r="Q325" s="117">
        <v>4000</v>
      </c>
      <c r="R325" s="117">
        <v>4000</v>
      </c>
      <c r="S325" s="106"/>
    </row>
    <row r="326" spans="1:19" s="100" customFormat="1" ht="13.5" thickBot="1">
      <c r="A326" s="95" t="s">
        <v>64</v>
      </c>
      <c r="B326" s="96" t="s">
        <v>60</v>
      </c>
      <c r="C326" s="105" t="s">
        <v>373</v>
      </c>
      <c r="D326" s="97" t="s">
        <v>374</v>
      </c>
      <c r="E326" s="97" t="s">
        <v>375</v>
      </c>
      <c r="F326" s="97" t="s">
        <v>100</v>
      </c>
      <c r="G326" s="97" t="s">
        <v>385</v>
      </c>
      <c r="H326" s="97" t="s">
        <v>239</v>
      </c>
      <c r="I326" s="162"/>
      <c r="J326" s="162"/>
      <c r="K326" s="98">
        <v>1000</v>
      </c>
      <c r="L326" s="99">
        <v>840</v>
      </c>
      <c r="M326" s="98">
        <v>1000</v>
      </c>
      <c r="N326" s="99">
        <v>840</v>
      </c>
      <c r="O326" s="342">
        <v>1000</v>
      </c>
      <c r="P326" s="99">
        <v>350</v>
      </c>
      <c r="Q326" s="117">
        <v>1000</v>
      </c>
      <c r="R326" s="117">
        <v>1000</v>
      </c>
      <c r="S326" s="106"/>
    </row>
    <row r="327" spans="1:19" s="100" customFormat="1" ht="13.5" thickBot="1">
      <c r="A327" s="95" t="s">
        <v>64</v>
      </c>
      <c r="B327" s="96" t="s">
        <v>60</v>
      </c>
      <c r="C327" s="105" t="s">
        <v>373</v>
      </c>
      <c r="D327" s="97" t="s">
        <v>374</v>
      </c>
      <c r="E327" s="97" t="s">
        <v>375</v>
      </c>
      <c r="F327" s="97" t="s">
        <v>103</v>
      </c>
      <c r="G327" s="97" t="s">
        <v>386</v>
      </c>
      <c r="H327" s="97" t="s">
        <v>239</v>
      </c>
      <c r="I327" s="162"/>
      <c r="J327" s="162"/>
      <c r="K327" s="98">
        <v>8500</v>
      </c>
      <c r="L327" s="99">
        <v>8691.06</v>
      </c>
      <c r="M327" s="98">
        <v>9000</v>
      </c>
      <c r="N327" s="99">
        <v>8944.94</v>
      </c>
      <c r="O327" s="342">
        <v>9000</v>
      </c>
      <c r="P327" s="99">
        <v>4254.4399999999996</v>
      </c>
      <c r="Q327" s="117">
        <v>567</v>
      </c>
      <c r="R327" s="117"/>
      <c r="S327" s="107" t="s">
        <v>387</v>
      </c>
    </row>
    <row r="328" spans="1:19" s="100" customFormat="1" ht="13.5" thickBot="1">
      <c r="A328" s="95" t="s">
        <v>64</v>
      </c>
      <c r="B328" s="96" t="s">
        <v>60</v>
      </c>
      <c r="C328" s="105" t="s">
        <v>373</v>
      </c>
      <c r="D328" s="108" t="s">
        <v>374</v>
      </c>
      <c r="E328" s="108" t="s">
        <v>375</v>
      </c>
      <c r="F328" s="108" t="s">
        <v>105</v>
      </c>
      <c r="G328" s="108" t="s">
        <v>388</v>
      </c>
      <c r="H328" s="108" t="s">
        <v>380</v>
      </c>
      <c r="I328" s="165"/>
      <c r="J328" s="165"/>
      <c r="K328" s="109">
        <v>0</v>
      </c>
      <c r="L328" s="110">
        <v>0</v>
      </c>
      <c r="M328" s="109">
        <v>10000</v>
      </c>
      <c r="N328" s="110">
        <v>0</v>
      </c>
      <c r="O328" s="341"/>
      <c r="P328" s="169"/>
      <c r="Q328" s="127"/>
      <c r="R328" s="127"/>
      <c r="S328" s="107" t="s">
        <v>389</v>
      </c>
    </row>
    <row r="329" spans="1:19" s="100" customFormat="1" ht="13.5" thickBot="1">
      <c r="A329" s="95" t="s">
        <v>64</v>
      </c>
      <c r="B329" s="96" t="s">
        <v>60</v>
      </c>
      <c r="C329" s="105" t="s">
        <v>373</v>
      </c>
      <c r="D329" s="97" t="s">
        <v>374</v>
      </c>
      <c r="E329" s="97" t="s">
        <v>375</v>
      </c>
      <c r="F329" s="97" t="s">
        <v>105</v>
      </c>
      <c r="G329" s="97" t="s">
        <v>388</v>
      </c>
      <c r="H329" s="97" t="s">
        <v>380</v>
      </c>
      <c r="I329" s="97" t="s">
        <v>390</v>
      </c>
      <c r="J329" s="162"/>
      <c r="K329" s="98">
        <v>1000</v>
      </c>
      <c r="L329" s="99">
        <v>9910</v>
      </c>
      <c r="M329" s="98">
        <v>0</v>
      </c>
      <c r="N329" s="99">
        <v>3111.88</v>
      </c>
      <c r="O329" s="342">
        <v>10000</v>
      </c>
      <c r="P329" s="99">
        <v>2546.94</v>
      </c>
      <c r="Q329" s="117">
        <v>10000</v>
      </c>
      <c r="R329" s="117">
        <v>10000</v>
      </c>
      <c r="S329" s="106"/>
    </row>
    <row r="330" spans="1:19" s="100" customFormat="1" ht="13.5" thickBot="1">
      <c r="A330" s="95" t="s">
        <v>64</v>
      </c>
      <c r="B330" s="96" t="s">
        <v>60</v>
      </c>
      <c r="C330" s="105" t="s">
        <v>373</v>
      </c>
      <c r="D330" s="97" t="s">
        <v>374</v>
      </c>
      <c r="E330" s="97" t="s">
        <v>375</v>
      </c>
      <c r="F330" s="97" t="s">
        <v>106</v>
      </c>
      <c r="G330" s="97" t="s">
        <v>185</v>
      </c>
      <c r="H330" s="97" t="s">
        <v>380</v>
      </c>
      <c r="I330" s="162"/>
      <c r="J330" s="162"/>
      <c r="K330" s="98">
        <v>8000</v>
      </c>
      <c r="L330" s="99">
        <v>19.989999999999998</v>
      </c>
      <c r="M330" s="98">
        <v>8000</v>
      </c>
      <c r="N330" s="99">
        <v>647.64</v>
      </c>
      <c r="O330" s="342">
        <v>8000</v>
      </c>
      <c r="P330" s="99">
        <v>0</v>
      </c>
      <c r="Q330" s="117">
        <v>8000</v>
      </c>
      <c r="R330" s="117">
        <v>8000</v>
      </c>
      <c r="S330" s="106"/>
    </row>
    <row r="331" spans="1:19" s="100" customFormat="1" ht="13.5" thickBot="1">
      <c r="A331" s="95" t="s">
        <v>64</v>
      </c>
      <c r="B331" s="96" t="s">
        <v>60</v>
      </c>
      <c r="C331" s="105" t="s">
        <v>373</v>
      </c>
      <c r="D331" s="108" t="s">
        <v>374</v>
      </c>
      <c r="E331" s="108" t="s">
        <v>375</v>
      </c>
      <c r="F331" s="108" t="s">
        <v>106</v>
      </c>
      <c r="G331" s="108" t="s">
        <v>185</v>
      </c>
      <c r="H331" s="108" t="s">
        <v>287</v>
      </c>
      <c r="I331" s="165"/>
      <c r="J331" s="165"/>
      <c r="K331" s="109">
        <v>1000</v>
      </c>
      <c r="L331" s="110">
        <v>863.52</v>
      </c>
      <c r="M331" s="168"/>
      <c r="N331" s="169"/>
      <c r="O331" s="341"/>
      <c r="P331" s="169"/>
      <c r="Q331" s="127"/>
      <c r="R331" s="127"/>
      <c r="S331" s="107" t="s">
        <v>391</v>
      </c>
    </row>
    <row r="332" spans="1:19" s="100" customFormat="1" ht="13.5" thickBot="1">
      <c r="A332" s="95" t="s">
        <v>64</v>
      </c>
      <c r="B332" s="96" t="s">
        <v>60</v>
      </c>
      <c r="C332" s="105" t="s">
        <v>373</v>
      </c>
      <c r="D332" s="97" t="s">
        <v>374</v>
      </c>
      <c r="E332" s="97" t="s">
        <v>375</v>
      </c>
      <c r="F332" s="97" t="s">
        <v>109</v>
      </c>
      <c r="G332" s="97" t="s">
        <v>204</v>
      </c>
      <c r="H332" s="97" t="s">
        <v>239</v>
      </c>
      <c r="I332" s="162"/>
      <c r="J332" s="162"/>
      <c r="K332" s="98">
        <v>3500</v>
      </c>
      <c r="L332" s="99">
        <v>3005</v>
      </c>
      <c r="M332" s="98">
        <v>3500</v>
      </c>
      <c r="N332" s="99">
        <v>1342</v>
      </c>
      <c r="O332" s="342">
        <v>3500</v>
      </c>
      <c r="P332" s="99">
        <v>880</v>
      </c>
      <c r="Q332" s="117">
        <v>3500</v>
      </c>
      <c r="R332" s="117">
        <v>3500</v>
      </c>
      <c r="S332" s="106"/>
    </row>
    <row r="333" spans="1:19" s="100" customFormat="1" ht="13.5" thickBot="1">
      <c r="A333" s="95" t="s">
        <v>64</v>
      </c>
      <c r="B333" s="96" t="s">
        <v>60</v>
      </c>
      <c r="C333" s="105" t="s">
        <v>373</v>
      </c>
      <c r="D333" s="97" t="s">
        <v>374</v>
      </c>
      <c r="E333" s="97" t="s">
        <v>375</v>
      </c>
      <c r="F333" s="97" t="s">
        <v>110</v>
      </c>
      <c r="G333" s="97" t="s">
        <v>392</v>
      </c>
      <c r="H333" s="97" t="s">
        <v>239</v>
      </c>
      <c r="I333" s="162"/>
      <c r="J333" s="162"/>
      <c r="K333" s="98">
        <v>10000</v>
      </c>
      <c r="L333" s="99">
        <v>9202</v>
      </c>
      <c r="M333" s="98">
        <v>10000</v>
      </c>
      <c r="N333" s="99">
        <v>9180</v>
      </c>
      <c r="O333" s="342">
        <v>10000</v>
      </c>
      <c r="P333" s="99">
        <v>4925</v>
      </c>
      <c r="Q333" s="117">
        <v>10000</v>
      </c>
      <c r="R333" s="117">
        <v>10000</v>
      </c>
      <c r="S333" s="106"/>
    </row>
    <row r="334" spans="1:19" s="100" customFormat="1" ht="13.5" thickBot="1">
      <c r="A334" s="95" t="s">
        <v>64</v>
      </c>
      <c r="B334" s="96" t="s">
        <v>60</v>
      </c>
      <c r="C334" s="105" t="s">
        <v>373</v>
      </c>
      <c r="D334" s="97" t="s">
        <v>374</v>
      </c>
      <c r="E334" s="97" t="s">
        <v>375</v>
      </c>
      <c r="F334" s="97" t="s">
        <v>111</v>
      </c>
      <c r="G334" s="97" t="s">
        <v>238</v>
      </c>
      <c r="H334" s="97" t="s">
        <v>239</v>
      </c>
      <c r="I334" s="162"/>
      <c r="J334" s="162"/>
      <c r="K334" s="98">
        <v>55000</v>
      </c>
      <c r="L334" s="99">
        <v>99045.16</v>
      </c>
      <c r="M334" s="98">
        <v>60000</v>
      </c>
      <c r="N334" s="99">
        <v>63454.03</v>
      </c>
      <c r="O334" s="342">
        <v>60000</v>
      </c>
      <c r="P334" s="99">
        <v>8587.9599999999991</v>
      </c>
      <c r="Q334" s="117">
        <v>60000</v>
      </c>
      <c r="R334" s="117">
        <v>60000</v>
      </c>
      <c r="S334" s="106"/>
    </row>
    <row r="335" spans="1:19" s="100" customFormat="1" ht="13.5" thickBot="1">
      <c r="A335" s="95" t="s">
        <v>64</v>
      </c>
      <c r="B335" s="96" t="s">
        <v>60</v>
      </c>
      <c r="C335" s="105" t="s">
        <v>373</v>
      </c>
      <c r="D335" s="97" t="s">
        <v>374</v>
      </c>
      <c r="E335" s="97" t="s">
        <v>375</v>
      </c>
      <c r="F335" s="97" t="s">
        <v>112</v>
      </c>
      <c r="G335" s="97" t="s">
        <v>283</v>
      </c>
      <c r="H335" s="97" t="s">
        <v>239</v>
      </c>
      <c r="I335" s="162"/>
      <c r="J335" s="162"/>
      <c r="K335" s="98">
        <v>5000</v>
      </c>
      <c r="L335" s="99">
        <v>2455.46</v>
      </c>
      <c r="M335" s="98">
        <v>4000</v>
      </c>
      <c r="N335" s="99">
        <v>2247.84</v>
      </c>
      <c r="O335" s="342">
        <v>4000</v>
      </c>
      <c r="P335" s="99">
        <v>275</v>
      </c>
      <c r="Q335" s="117">
        <v>4000</v>
      </c>
      <c r="R335" s="117">
        <v>4000</v>
      </c>
      <c r="S335" s="106"/>
    </row>
    <row r="336" spans="1:19" s="100" customFormat="1" ht="13.5" thickBot="1">
      <c r="A336" s="95" t="s">
        <v>64</v>
      </c>
      <c r="B336" s="96" t="s">
        <v>60</v>
      </c>
      <c r="C336" s="105" t="s">
        <v>373</v>
      </c>
      <c r="D336" s="97" t="s">
        <v>374</v>
      </c>
      <c r="E336" s="97" t="s">
        <v>375</v>
      </c>
      <c r="F336" s="97" t="s">
        <v>114</v>
      </c>
      <c r="G336" s="97" t="s">
        <v>242</v>
      </c>
      <c r="H336" s="97" t="s">
        <v>239</v>
      </c>
      <c r="I336" s="162"/>
      <c r="J336" s="162"/>
      <c r="K336" s="98">
        <v>27000</v>
      </c>
      <c r="L336" s="99">
        <v>16868.07</v>
      </c>
      <c r="M336" s="98">
        <v>27000</v>
      </c>
      <c r="N336" s="99">
        <v>17519.8</v>
      </c>
      <c r="O336" s="342">
        <v>27000</v>
      </c>
      <c r="P336" s="99">
        <v>7603.08</v>
      </c>
      <c r="Q336" s="117">
        <v>25000</v>
      </c>
      <c r="R336" s="117">
        <v>25000</v>
      </c>
      <c r="S336" s="106"/>
    </row>
    <row r="337" spans="1:19" s="100" customFormat="1" ht="13.5" thickBot="1">
      <c r="A337" s="95" t="s">
        <v>64</v>
      </c>
      <c r="B337" s="96" t="s">
        <v>60</v>
      </c>
      <c r="C337" s="105" t="s">
        <v>373</v>
      </c>
      <c r="D337" s="97" t="s">
        <v>374</v>
      </c>
      <c r="E337" s="97" t="s">
        <v>375</v>
      </c>
      <c r="F337" s="97" t="s">
        <v>114</v>
      </c>
      <c r="G337" s="97" t="s">
        <v>242</v>
      </c>
      <c r="H337" s="97" t="s">
        <v>380</v>
      </c>
      <c r="I337" s="162"/>
      <c r="J337" s="162"/>
      <c r="K337" s="98">
        <v>23500</v>
      </c>
      <c r="L337" s="99">
        <v>3441.46</v>
      </c>
      <c r="M337" s="98">
        <v>23500</v>
      </c>
      <c r="N337" s="99">
        <v>2847.24</v>
      </c>
      <c r="O337" s="342">
        <v>23500</v>
      </c>
      <c r="P337" s="99">
        <v>111.92</v>
      </c>
      <c r="Q337" s="117">
        <v>23500</v>
      </c>
      <c r="R337" s="117">
        <v>23500</v>
      </c>
      <c r="S337" s="106"/>
    </row>
    <row r="338" spans="1:19" s="100" customFormat="1" ht="13.5" thickBot="1">
      <c r="A338" s="95" t="s">
        <v>64</v>
      </c>
      <c r="B338" s="96" t="s">
        <v>60</v>
      </c>
      <c r="C338" s="105" t="s">
        <v>373</v>
      </c>
      <c r="D338" s="97" t="s">
        <v>374</v>
      </c>
      <c r="E338" s="97" t="s">
        <v>375</v>
      </c>
      <c r="F338" s="97" t="s">
        <v>125</v>
      </c>
      <c r="G338" s="97" t="s">
        <v>214</v>
      </c>
      <c r="H338" s="97" t="s">
        <v>380</v>
      </c>
      <c r="I338" s="162"/>
      <c r="J338" s="162"/>
      <c r="K338" s="98">
        <v>45000</v>
      </c>
      <c r="L338" s="99">
        <v>20617.72</v>
      </c>
      <c r="M338" s="98">
        <v>45000</v>
      </c>
      <c r="N338" s="99">
        <v>36856.54</v>
      </c>
      <c r="O338" s="342">
        <v>45000</v>
      </c>
      <c r="P338" s="99">
        <v>3150.35</v>
      </c>
      <c r="Q338" s="117">
        <v>45000</v>
      </c>
      <c r="R338" s="117">
        <v>45000</v>
      </c>
      <c r="S338" s="106"/>
    </row>
    <row r="339" spans="1:19" s="100" customFormat="1" ht="13.5" thickBot="1">
      <c r="A339" s="95" t="s">
        <v>64</v>
      </c>
      <c r="B339" s="96" t="s">
        <v>60</v>
      </c>
      <c r="C339" s="105" t="s">
        <v>373</v>
      </c>
      <c r="D339" s="97" t="s">
        <v>374</v>
      </c>
      <c r="E339" s="97" t="s">
        <v>375</v>
      </c>
      <c r="F339" s="97" t="s">
        <v>132</v>
      </c>
      <c r="G339" s="97" t="s">
        <v>354</v>
      </c>
      <c r="H339" s="97" t="s">
        <v>380</v>
      </c>
      <c r="I339" s="162"/>
      <c r="J339" s="162"/>
      <c r="K339" s="98">
        <v>3000</v>
      </c>
      <c r="L339" s="99">
        <v>0</v>
      </c>
      <c r="M339" s="98">
        <v>5000</v>
      </c>
      <c r="N339" s="99">
        <v>631.88</v>
      </c>
      <c r="O339" s="342">
        <v>5000</v>
      </c>
      <c r="P339" s="99">
        <v>0</v>
      </c>
      <c r="Q339" s="117">
        <v>5000</v>
      </c>
      <c r="R339" s="117">
        <v>5000</v>
      </c>
      <c r="S339" s="106"/>
    </row>
    <row r="340" spans="1:19" s="100" customFormat="1" ht="13.5" thickBot="1">
      <c r="A340" s="95" t="s">
        <v>64</v>
      </c>
      <c r="B340" s="96" t="s">
        <v>60</v>
      </c>
      <c r="C340" s="105" t="s">
        <v>373</v>
      </c>
      <c r="D340" s="97" t="s">
        <v>374</v>
      </c>
      <c r="E340" s="97" t="s">
        <v>375</v>
      </c>
      <c r="F340" s="97" t="s">
        <v>135</v>
      </c>
      <c r="G340" s="97" t="s">
        <v>253</v>
      </c>
      <c r="H340" s="97" t="s">
        <v>239</v>
      </c>
      <c r="I340" s="162"/>
      <c r="J340" s="162"/>
      <c r="K340" s="98">
        <v>100</v>
      </c>
      <c r="L340" s="99">
        <v>15</v>
      </c>
      <c r="M340" s="98">
        <v>100</v>
      </c>
      <c r="N340" s="99">
        <v>15</v>
      </c>
      <c r="O340" s="342">
        <v>100</v>
      </c>
      <c r="P340" s="99">
        <v>15</v>
      </c>
      <c r="Q340" s="117">
        <v>100</v>
      </c>
      <c r="R340" s="117">
        <v>100</v>
      </c>
      <c r="S340" s="106"/>
    </row>
    <row r="341" spans="1:19" s="100" customFormat="1" ht="13.5" thickBot="1">
      <c r="A341" s="95" t="s">
        <v>64</v>
      </c>
      <c r="B341" s="96" t="s">
        <v>60</v>
      </c>
      <c r="C341" s="105" t="s">
        <v>373</v>
      </c>
      <c r="D341" s="97" t="s">
        <v>374</v>
      </c>
      <c r="E341" s="97" t="s">
        <v>375</v>
      </c>
      <c r="F341" s="97" t="s">
        <v>136</v>
      </c>
      <c r="G341" s="97" t="s">
        <v>254</v>
      </c>
      <c r="H341" s="97" t="s">
        <v>380</v>
      </c>
      <c r="I341" s="162"/>
      <c r="J341" s="162"/>
      <c r="K341" s="98">
        <v>15000</v>
      </c>
      <c r="L341" s="99">
        <v>470.68</v>
      </c>
      <c r="M341" s="98">
        <v>15000</v>
      </c>
      <c r="N341" s="99">
        <v>0</v>
      </c>
      <c r="O341" s="342">
        <v>7500</v>
      </c>
      <c r="P341" s="99">
        <v>0</v>
      </c>
      <c r="Q341" s="117">
        <v>7500</v>
      </c>
      <c r="R341" s="117">
        <v>7500</v>
      </c>
      <c r="S341" s="106"/>
    </row>
    <row r="342" spans="1:19" s="100" customFormat="1" ht="13.5" thickBot="1">
      <c r="A342" s="95" t="s">
        <v>64</v>
      </c>
      <c r="B342" s="96" t="s">
        <v>60</v>
      </c>
      <c r="C342" s="105" t="s">
        <v>373</v>
      </c>
      <c r="D342" s="108" t="s">
        <v>374</v>
      </c>
      <c r="E342" s="108" t="s">
        <v>375</v>
      </c>
      <c r="F342" s="108" t="s">
        <v>138</v>
      </c>
      <c r="G342" s="108" t="s">
        <v>291</v>
      </c>
      <c r="H342" s="108" t="s">
        <v>239</v>
      </c>
      <c r="I342" s="165"/>
      <c r="J342" s="165"/>
      <c r="K342" s="109">
        <v>-275511</v>
      </c>
      <c r="L342" s="110">
        <v>0</v>
      </c>
      <c r="M342" s="109">
        <v>-275511</v>
      </c>
      <c r="N342" s="110">
        <v>0</v>
      </c>
      <c r="O342" s="342">
        <v>-275511</v>
      </c>
      <c r="P342" s="110">
        <v>0</v>
      </c>
      <c r="Q342" s="127">
        <v>-295000</v>
      </c>
      <c r="R342" s="127">
        <v>-295000</v>
      </c>
      <c r="S342" s="107" t="s">
        <v>393</v>
      </c>
    </row>
    <row r="343" spans="1:19" s="100" customFormat="1" ht="13.5" thickBot="1">
      <c r="A343" s="95" t="s">
        <v>64</v>
      </c>
      <c r="B343" s="96" t="s">
        <v>60</v>
      </c>
      <c r="C343" s="105" t="s">
        <v>373</v>
      </c>
      <c r="D343" s="97" t="s">
        <v>374</v>
      </c>
      <c r="E343" s="97" t="s">
        <v>375</v>
      </c>
      <c r="F343" s="97" t="s">
        <v>139</v>
      </c>
      <c r="G343" s="97" t="s">
        <v>394</v>
      </c>
      <c r="H343" s="97" t="s">
        <v>239</v>
      </c>
      <c r="I343" s="162"/>
      <c r="J343" s="162"/>
      <c r="K343" s="98">
        <v>30000</v>
      </c>
      <c r="L343" s="99">
        <v>28142.44</v>
      </c>
      <c r="M343" s="98">
        <v>30000</v>
      </c>
      <c r="N343" s="99">
        <v>39759.75</v>
      </c>
      <c r="O343" s="342">
        <v>30000</v>
      </c>
      <c r="P343" s="99">
        <v>21480.7</v>
      </c>
      <c r="Q343" s="117">
        <v>30000</v>
      </c>
      <c r="R343" s="117">
        <v>30000</v>
      </c>
      <c r="S343" s="106"/>
    </row>
    <row r="344" spans="1:19" s="100" customFormat="1" ht="13.5" thickBot="1">
      <c r="A344" s="95" t="s">
        <v>64</v>
      </c>
      <c r="B344" s="96" t="s">
        <v>60</v>
      </c>
      <c r="C344" s="105" t="s">
        <v>373</v>
      </c>
      <c r="D344" s="97" t="s">
        <v>374</v>
      </c>
      <c r="E344" s="97" t="s">
        <v>375</v>
      </c>
      <c r="F344" s="97" t="s">
        <v>142</v>
      </c>
      <c r="G344" s="97" t="s">
        <v>187</v>
      </c>
      <c r="H344" s="97" t="s">
        <v>380</v>
      </c>
      <c r="I344" s="162"/>
      <c r="J344" s="162"/>
      <c r="K344" s="98">
        <v>0</v>
      </c>
      <c r="L344" s="99">
        <v>4059.65</v>
      </c>
      <c r="M344" s="98">
        <v>4000</v>
      </c>
      <c r="N344" s="99">
        <v>0</v>
      </c>
      <c r="O344" s="342">
        <v>4000</v>
      </c>
      <c r="P344" s="99">
        <v>0</v>
      </c>
      <c r="Q344" s="117">
        <v>4000</v>
      </c>
      <c r="R344" s="117">
        <v>4000</v>
      </c>
      <c r="S344" s="106"/>
    </row>
    <row r="345" spans="1:19" s="100" customFormat="1" ht="13.5" thickBot="1">
      <c r="A345" s="95" t="s">
        <v>64</v>
      </c>
      <c r="B345" s="96" t="s">
        <v>60</v>
      </c>
      <c r="C345" s="105" t="s">
        <v>373</v>
      </c>
      <c r="D345" s="97" t="s">
        <v>374</v>
      </c>
      <c r="E345" s="97" t="s">
        <v>375</v>
      </c>
      <c r="F345" s="97" t="s">
        <v>143</v>
      </c>
      <c r="G345" s="97" t="s">
        <v>207</v>
      </c>
      <c r="H345" s="97" t="s">
        <v>380</v>
      </c>
      <c r="I345" s="162"/>
      <c r="J345" s="162"/>
      <c r="K345" s="98">
        <v>4000</v>
      </c>
      <c r="L345" s="99">
        <v>0</v>
      </c>
      <c r="M345" s="98">
        <v>20500</v>
      </c>
      <c r="N345" s="99">
        <v>0</v>
      </c>
      <c r="O345" s="342">
        <v>15000</v>
      </c>
      <c r="P345" s="99">
        <v>0</v>
      </c>
      <c r="Q345" s="117">
        <v>15000</v>
      </c>
      <c r="R345" s="117">
        <v>15000</v>
      </c>
      <c r="S345" s="106"/>
    </row>
    <row r="346" spans="1:19" s="100" customFormat="1" ht="13.5" thickBot="1">
      <c r="A346" s="95" t="s">
        <v>64</v>
      </c>
      <c r="B346" s="96" t="s">
        <v>60</v>
      </c>
      <c r="C346" s="105" t="s">
        <v>373</v>
      </c>
      <c r="D346" s="108" t="s">
        <v>374</v>
      </c>
      <c r="E346" s="108" t="s">
        <v>375</v>
      </c>
      <c r="F346" s="108" t="s">
        <v>144</v>
      </c>
      <c r="G346" s="108" t="s">
        <v>395</v>
      </c>
      <c r="H346" s="108" t="s">
        <v>380</v>
      </c>
      <c r="I346" s="165"/>
      <c r="J346" s="165"/>
      <c r="K346" s="168"/>
      <c r="L346" s="169"/>
      <c r="M346" s="109">
        <v>0</v>
      </c>
      <c r="N346" s="110">
        <v>32582.36</v>
      </c>
      <c r="O346" s="342">
        <v>0</v>
      </c>
      <c r="P346" s="110">
        <v>-20000</v>
      </c>
      <c r="Q346" s="127"/>
      <c r="R346" s="127"/>
      <c r="S346" s="107" t="s">
        <v>396</v>
      </c>
    </row>
    <row r="347" spans="1:19" s="100" customFormat="1" ht="13.5" thickBot="1">
      <c r="A347" s="95" t="s">
        <v>64</v>
      </c>
      <c r="B347" s="96" t="s">
        <v>60</v>
      </c>
      <c r="C347" s="105" t="s">
        <v>373</v>
      </c>
      <c r="D347" s="97" t="s">
        <v>374</v>
      </c>
      <c r="E347" s="97" t="s">
        <v>375</v>
      </c>
      <c r="F347" s="97" t="s">
        <v>145</v>
      </c>
      <c r="G347" s="97" t="s">
        <v>227</v>
      </c>
      <c r="H347" s="97" t="s">
        <v>239</v>
      </c>
      <c r="I347" s="162"/>
      <c r="J347" s="162"/>
      <c r="K347" s="98">
        <v>6000</v>
      </c>
      <c r="L347" s="99">
        <v>14626.53</v>
      </c>
      <c r="M347" s="98">
        <v>6000</v>
      </c>
      <c r="N347" s="99">
        <v>4800.29</v>
      </c>
      <c r="O347" s="342">
        <v>6000</v>
      </c>
      <c r="P347" s="99">
        <v>2438.15</v>
      </c>
      <c r="Q347" s="117">
        <v>6000</v>
      </c>
      <c r="R347" s="117">
        <v>6000</v>
      </c>
      <c r="S347" s="106"/>
    </row>
    <row r="348" spans="1:19" s="100" customFormat="1" ht="13.5" thickBot="1">
      <c r="A348" s="95" t="s">
        <v>64</v>
      </c>
      <c r="B348" s="96" t="s">
        <v>60</v>
      </c>
      <c r="C348" s="105" t="s">
        <v>373</v>
      </c>
      <c r="D348" s="97" t="s">
        <v>374</v>
      </c>
      <c r="E348" s="97" t="s">
        <v>375</v>
      </c>
      <c r="F348" s="97" t="s">
        <v>147</v>
      </c>
      <c r="G348" s="97" t="s">
        <v>256</v>
      </c>
      <c r="H348" s="97" t="s">
        <v>239</v>
      </c>
      <c r="I348" s="162"/>
      <c r="J348" s="162"/>
      <c r="K348" s="98">
        <v>25000</v>
      </c>
      <c r="L348" s="99">
        <v>24603.86</v>
      </c>
      <c r="M348" s="98">
        <v>40000</v>
      </c>
      <c r="N348" s="99">
        <v>1126.48</v>
      </c>
      <c r="O348" s="342">
        <v>20000</v>
      </c>
      <c r="P348" s="99">
        <v>5959.16</v>
      </c>
      <c r="Q348" s="117">
        <v>20000</v>
      </c>
      <c r="R348" s="117">
        <v>20000</v>
      </c>
      <c r="S348" s="106"/>
    </row>
    <row r="349" spans="1:19" s="100" customFormat="1" ht="13.5" thickBot="1">
      <c r="A349" s="95" t="s">
        <v>64</v>
      </c>
      <c r="B349" s="96" t="s">
        <v>61</v>
      </c>
      <c r="C349" s="105" t="s">
        <v>397</v>
      </c>
      <c r="D349" s="97" t="s">
        <v>398</v>
      </c>
      <c r="E349" s="97" t="s">
        <v>399</v>
      </c>
      <c r="F349" s="97" t="s">
        <v>78</v>
      </c>
      <c r="G349" s="97" t="s">
        <v>176</v>
      </c>
      <c r="H349" s="97" t="s">
        <v>380</v>
      </c>
      <c r="I349" s="162"/>
      <c r="J349" s="162"/>
      <c r="K349" s="98">
        <v>0</v>
      </c>
      <c r="L349" s="99">
        <v>6.97</v>
      </c>
      <c r="M349" s="163"/>
      <c r="N349" s="164"/>
      <c r="O349" s="341"/>
      <c r="P349" s="164"/>
      <c r="Q349" s="117"/>
      <c r="R349" s="117"/>
      <c r="S349" s="106"/>
    </row>
    <row r="350" spans="1:19" s="100" customFormat="1" ht="13.5" thickBot="1">
      <c r="A350" s="95" t="s">
        <v>64</v>
      </c>
      <c r="B350" s="96" t="s">
        <v>61</v>
      </c>
      <c r="C350" s="105" t="s">
        <v>397</v>
      </c>
      <c r="D350" s="97" t="s">
        <v>398</v>
      </c>
      <c r="E350" s="97" t="s">
        <v>399</v>
      </c>
      <c r="F350" s="97" t="s">
        <v>83</v>
      </c>
      <c r="G350" s="97" t="s">
        <v>178</v>
      </c>
      <c r="H350" s="97" t="s">
        <v>380</v>
      </c>
      <c r="I350" s="162"/>
      <c r="J350" s="162"/>
      <c r="K350" s="98">
        <v>30000</v>
      </c>
      <c r="L350" s="99">
        <v>17846.25</v>
      </c>
      <c r="M350" s="98">
        <v>50000</v>
      </c>
      <c r="N350" s="99">
        <v>4740</v>
      </c>
      <c r="O350" s="342">
        <v>30000</v>
      </c>
      <c r="P350" s="99">
        <v>9007.5</v>
      </c>
      <c r="Q350" s="117">
        <v>30000</v>
      </c>
      <c r="R350" s="117">
        <v>30000</v>
      </c>
      <c r="S350" s="106"/>
    </row>
    <row r="351" spans="1:19" s="100" customFormat="1" ht="13.5" thickBot="1">
      <c r="A351" s="95" t="s">
        <v>64</v>
      </c>
      <c r="B351" s="96" t="s">
        <v>61</v>
      </c>
      <c r="C351" s="105" t="s">
        <v>397</v>
      </c>
      <c r="D351" s="97" t="s">
        <v>398</v>
      </c>
      <c r="E351" s="97" t="s">
        <v>399</v>
      </c>
      <c r="F351" s="97" t="s">
        <v>86</v>
      </c>
      <c r="G351" s="97" t="s">
        <v>179</v>
      </c>
      <c r="H351" s="97" t="s">
        <v>380</v>
      </c>
      <c r="I351" s="162"/>
      <c r="J351" s="162"/>
      <c r="K351" s="98">
        <v>25000</v>
      </c>
      <c r="L351" s="99">
        <v>35815.49</v>
      </c>
      <c r="M351" s="98">
        <v>25000</v>
      </c>
      <c r="N351" s="99">
        <v>21835.759999999998</v>
      </c>
      <c r="O351" s="342">
        <v>25000</v>
      </c>
      <c r="P351" s="99">
        <v>1468.31</v>
      </c>
      <c r="Q351" s="117">
        <v>25000</v>
      </c>
      <c r="R351" s="117">
        <v>25000</v>
      </c>
      <c r="S351" s="106"/>
    </row>
    <row r="352" spans="1:19" s="100" customFormat="1" ht="13.5" thickBot="1">
      <c r="A352" s="95" t="s">
        <v>64</v>
      </c>
      <c r="B352" s="96" t="s">
        <v>61</v>
      </c>
      <c r="C352" s="105" t="s">
        <v>397</v>
      </c>
      <c r="D352" s="97" t="s">
        <v>400</v>
      </c>
      <c r="E352" s="97" t="s">
        <v>401</v>
      </c>
      <c r="F352" s="97" t="s">
        <v>82</v>
      </c>
      <c r="G352" s="97" t="s">
        <v>402</v>
      </c>
      <c r="H352" s="97" t="s">
        <v>403</v>
      </c>
      <c r="I352" s="162"/>
      <c r="J352" s="162"/>
      <c r="K352" s="98">
        <v>4500</v>
      </c>
      <c r="L352" s="99">
        <v>2455.62</v>
      </c>
      <c r="M352" s="98">
        <v>4500</v>
      </c>
      <c r="N352" s="99">
        <v>1507.48</v>
      </c>
      <c r="O352" s="342">
        <v>3500</v>
      </c>
      <c r="P352" s="99">
        <v>0</v>
      </c>
      <c r="Q352" s="117">
        <v>3500</v>
      </c>
      <c r="R352" s="117">
        <v>3500</v>
      </c>
      <c r="S352" s="106"/>
    </row>
    <row r="353" spans="1:19" s="100" customFormat="1" ht="13.5" thickBot="1">
      <c r="A353" s="95" t="s">
        <v>64</v>
      </c>
      <c r="B353" s="96" t="s">
        <v>61</v>
      </c>
      <c r="C353" s="105" t="s">
        <v>397</v>
      </c>
      <c r="D353" s="97" t="s">
        <v>400</v>
      </c>
      <c r="E353" s="97" t="s">
        <v>401</v>
      </c>
      <c r="F353" s="97" t="s">
        <v>83</v>
      </c>
      <c r="G353" s="97" t="s">
        <v>178</v>
      </c>
      <c r="H353" s="97" t="s">
        <v>403</v>
      </c>
      <c r="I353" s="162"/>
      <c r="J353" s="162"/>
      <c r="K353" s="98">
        <v>125000</v>
      </c>
      <c r="L353" s="99">
        <v>109969.94</v>
      </c>
      <c r="M353" s="98">
        <v>200000</v>
      </c>
      <c r="N353" s="99">
        <v>85626.16</v>
      </c>
      <c r="O353" s="342">
        <v>150000</v>
      </c>
      <c r="P353" s="99">
        <v>42420</v>
      </c>
      <c r="Q353" s="117">
        <v>100000</v>
      </c>
      <c r="R353" s="117">
        <v>100000</v>
      </c>
      <c r="S353" s="106"/>
    </row>
    <row r="354" spans="1:19" s="100" customFormat="1" ht="13.5" thickBot="1">
      <c r="A354" s="95" t="s">
        <v>64</v>
      </c>
      <c r="B354" s="96" t="s">
        <v>61</v>
      </c>
      <c r="C354" s="105" t="s">
        <v>397</v>
      </c>
      <c r="D354" s="97" t="s">
        <v>400</v>
      </c>
      <c r="E354" s="97" t="s">
        <v>401</v>
      </c>
      <c r="F354" s="97" t="s">
        <v>86</v>
      </c>
      <c r="G354" s="97" t="s">
        <v>179</v>
      </c>
      <c r="H354" s="97" t="s">
        <v>403</v>
      </c>
      <c r="I354" s="162"/>
      <c r="J354" s="162"/>
      <c r="K354" s="98">
        <v>25000</v>
      </c>
      <c r="L354" s="99">
        <v>15892.98</v>
      </c>
      <c r="M354" s="98">
        <v>30000</v>
      </c>
      <c r="N354" s="99">
        <v>3368.57</v>
      </c>
      <c r="O354" s="342">
        <v>25000</v>
      </c>
      <c r="P354" s="99">
        <v>-168.55</v>
      </c>
      <c r="Q354" s="117">
        <v>25000</v>
      </c>
      <c r="R354" s="117">
        <v>25000</v>
      </c>
      <c r="S354" s="106"/>
    </row>
    <row r="355" spans="1:19" s="100" customFormat="1" ht="13.5" thickBot="1">
      <c r="A355" s="95" t="s">
        <v>64</v>
      </c>
      <c r="B355" s="96" t="s">
        <v>61</v>
      </c>
      <c r="C355" s="105" t="s">
        <v>397</v>
      </c>
      <c r="D355" s="97" t="s">
        <v>400</v>
      </c>
      <c r="E355" s="97" t="s">
        <v>401</v>
      </c>
      <c r="F355" s="97" t="s">
        <v>86</v>
      </c>
      <c r="G355" s="97" t="s">
        <v>179</v>
      </c>
      <c r="H355" s="97" t="s">
        <v>403</v>
      </c>
      <c r="I355" s="162"/>
      <c r="J355" s="97" t="s">
        <v>203</v>
      </c>
      <c r="K355" s="98">
        <v>0</v>
      </c>
      <c r="L355" s="99">
        <v>34.26</v>
      </c>
      <c r="M355" s="163"/>
      <c r="N355" s="164"/>
      <c r="O355" s="341"/>
      <c r="P355" s="164"/>
      <c r="Q355" s="117"/>
      <c r="R355" s="117"/>
      <c r="S355" s="106" t="s">
        <v>404</v>
      </c>
    </row>
    <row r="356" spans="1:19" s="100" customFormat="1" ht="13.5" thickBot="1">
      <c r="A356" s="95" t="s">
        <v>64</v>
      </c>
      <c r="B356" s="96" t="s">
        <v>61</v>
      </c>
      <c r="C356" s="105" t="s">
        <v>397</v>
      </c>
      <c r="D356" s="97" t="s">
        <v>400</v>
      </c>
      <c r="E356" s="97" t="s">
        <v>401</v>
      </c>
      <c r="F356" s="97" t="s">
        <v>86</v>
      </c>
      <c r="G356" s="97" t="s">
        <v>179</v>
      </c>
      <c r="H356" s="97" t="s">
        <v>380</v>
      </c>
      <c r="I356" s="162"/>
      <c r="J356" s="162"/>
      <c r="K356" s="163"/>
      <c r="L356" s="164"/>
      <c r="M356" s="98">
        <v>0</v>
      </c>
      <c r="N356" s="99">
        <v>740</v>
      </c>
      <c r="O356" s="341"/>
      <c r="P356" s="164"/>
      <c r="Q356" s="117"/>
      <c r="R356" s="117"/>
      <c r="S356" s="106" t="s">
        <v>404</v>
      </c>
    </row>
    <row r="357" spans="1:19" s="100" customFormat="1" ht="13.5" thickBot="1">
      <c r="A357" s="95" t="s">
        <v>64</v>
      </c>
      <c r="B357" s="96" t="s">
        <v>61</v>
      </c>
      <c r="C357" s="105" t="s">
        <v>397</v>
      </c>
      <c r="D357" s="97" t="s">
        <v>400</v>
      </c>
      <c r="E357" s="97" t="s">
        <v>401</v>
      </c>
      <c r="F357" s="97" t="s">
        <v>90</v>
      </c>
      <c r="G357" s="97" t="s">
        <v>184</v>
      </c>
      <c r="H357" s="97" t="s">
        <v>403</v>
      </c>
      <c r="I357" s="162"/>
      <c r="J357" s="162"/>
      <c r="K357" s="98">
        <v>160000</v>
      </c>
      <c r="L357" s="99">
        <v>145417</v>
      </c>
      <c r="M357" s="98">
        <v>160000</v>
      </c>
      <c r="N357" s="99">
        <v>150598.5</v>
      </c>
      <c r="O357" s="342">
        <v>160000</v>
      </c>
      <c r="P357" s="99">
        <v>140178</v>
      </c>
      <c r="Q357" s="117">
        <v>160000</v>
      </c>
      <c r="R357" s="117">
        <v>160000</v>
      </c>
      <c r="S357" s="106"/>
    </row>
    <row r="358" spans="1:19" s="100" customFormat="1" ht="13.5" thickBot="1">
      <c r="A358" s="95" t="s">
        <v>64</v>
      </c>
      <c r="B358" s="96" t="s">
        <v>61</v>
      </c>
      <c r="C358" s="105" t="s">
        <v>397</v>
      </c>
      <c r="D358" s="97" t="s">
        <v>400</v>
      </c>
      <c r="E358" s="97" t="s">
        <v>401</v>
      </c>
      <c r="F358" s="97" t="s">
        <v>106</v>
      </c>
      <c r="G358" s="97" t="s">
        <v>185</v>
      </c>
      <c r="H358" s="97" t="s">
        <v>403</v>
      </c>
      <c r="I358" s="162"/>
      <c r="J358" s="162"/>
      <c r="K358" s="98">
        <v>30000</v>
      </c>
      <c r="L358" s="99">
        <v>0</v>
      </c>
      <c r="M358" s="98">
        <v>45000</v>
      </c>
      <c r="N358" s="99">
        <v>17500</v>
      </c>
      <c r="O358" s="342">
        <v>40000</v>
      </c>
      <c r="P358" s="99">
        <v>17500</v>
      </c>
      <c r="Q358" s="117">
        <v>35000</v>
      </c>
      <c r="R358" s="117">
        <v>35000</v>
      </c>
      <c r="S358" s="106"/>
    </row>
    <row r="359" spans="1:19" s="100" customFormat="1" ht="13.5" thickBot="1">
      <c r="A359" s="95" t="s">
        <v>64</v>
      </c>
      <c r="B359" s="96" t="s">
        <v>61</v>
      </c>
      <c r="C359" s="105" t="s">
        <v>397</v>
      </c>
      <c r="D359" s="97" t="s">
        <v>400</v>
      </c>
      <c r="E359" s="97" t="s">
        <v>401</v>
      </c>
      <c r="F359" s="97" t="s">
        <v>118</v>
      </c>
      <c r="G359" s="97" t="s">
        <v>405</v>
      </c>
      <c r="H359" s="97" t="s">
        <v>403</v>
      </c>
      <c r="I359" s="162"/>
      <c r="J359" s="162"/>
      <c r="K359" s="111">
        <v>400000</v>
      </c>
      <c r="L359" s="112">
        <v>162785.65</v>
      </c>
      <c r="M359" s="170"/>
      <c r="N359" s="171"/>
      <c r="O359" s="346">
        <v>250000</v>
      </c>
      <c r="P359" s="112">
        <v>0</v>
      </c>
      <c r="Q359" s="128">
        <v>175000</v>
      </c>
      <c r="R359" s="128">
        <v>170000</v>
      </c>
      <c r="S359" s="106" t="s">
        <v>406</v>
      </c>
    </row>
    <row r="360" spans="1:19" ht="13.5" thickBot="1">
      <c r="A360" s="95" t="s">
        <v>64</v>
      </c>
      <c r="B360" s="96" t="s">
        <v>58</v>
      </c>
      <c r="C360" s="96" t="s">
        <v>10</v>
      </c>
      <c r="D360" s="97" t="s">
        <v>407</v>
      </c>
      <c r="E360" s="97" t="s">
        <v>408</v>
      </c>
      <c r="F360" s="97" t="s">
        <v>75</v>
      </c>
      <c r="G360" s="97" t="s">
        <v>174</v>
      </c>
      <c r="H360" s="97" t="s">
        <v>409</v>
      </c>
      <c r="I360" s="162"/>
      <c r="J360" s="162"/>
      <c r="K360" s="98">
        <v>20000</v>
      </c>
      <c r="L360" s="99">
        <v>7428.23</v>
      </c>
      <c r="M360" s="98">
        <v>20000</v>
      </c>
      <c r="N360" s="99">
        <v>7763.92</v>
      </c>
      <c r="O360" s="342">
        <v>15000</v>
      </c>
      <c r="P360" s="99">
        <v>1365.47</v>
      </c>
      <c r="Q360" s="146">
        <v>15000</v>
      </c>
      <c r="R360" s="147">
        <v>15000</v>
      </c>
      <c r="S360" s="100"/>
    </row>
    <row r="361" spans="1:19" ht="13.5" thickBot="1">
      <c r="A361" s="95" t="s">
        <v>64</v>
      </c>
      <c r="B361" s="96" t="s">
        <v>58</v>
      </c>
      <c r="C361" s="96" t="s">
        <v>10</v>
      </c>
      <c r="D361" s="97" t="s">
        <v>407</v>
      </c>
      <c r="E361" s="97" t="s">
        <v>408</v>
      </c>
      <c r="F361" s="97" t="s">
        <v>83</v>
      </c>
      <c r="G361" s="97" t="s">
        <v>178</v>
      </c>
      <c r="H361" s="97" t="s">
        <v>409</v>
      </c>
      <c r="I361" s="162"/>
      <c r="J361" s="162"/>
      <c r="K361" s="98">
        <v>50000</v>
      </c>
      <c r="L361" s="99">
        <v>162036.66</v>
      </c>
      <c r="M361" s="98">
        <v>100000</v>
      </c>
      <c r="N361" s="99">
        <v>343342.51</v>
      </c>
      <c r="O361" s="342">
        <v>100000</v>
      </c>
      <c r="P361" s="99">
        <v>0</v>
      </c>
      <c r="Q361" s="148">
        <v>100000</v>
      </c>
      <c r="R361" s="149">
        <v>100000</v>
      </c>
      <c r="S361" s="100"/>
    </row>
    <row r="362" spans="1:19" ht="13.5" thickBot="1">
      <c r="A362" s="95" t="s">
        <v>64</v>
      </c>
      <c r="B362" s="96" t="s">
        <v>58</v>
      </c>
      <c r="C362" s="96" t="s">
        <v>10</v>
      </c>
      <c r="D362" s="97" t="s">
        <v>407</v>
      </c>
      <c r="E362" s="97" t="s">
        <v>408</v>
      </c>
      <c r="F362" s="97" t="s">
        <v>86</v>
      </c>
      <c r="G362" s="97" t="s">
        <v>179</v>
      </c>
      <c r="H362" s="97" t="s">
        <v>347</v>
      </c>
      <c r="I362" s="162"/>
      <c r="J362" s="162"/>
      <c r="K362" s="98">
        <v>0</v>
      </c>
      <c r="L362" s="99">
        <v>148</v>
      </c>
      <c r="M362" s="163"/>
      <c r="N362" s="164"/>
      <c r="O362" s="341"/>
      <c r="P362" s="164"/>
      <c r="Q362" s="148"/>
      <c r="R362" s="149"/>
      <c r="S362" s="100"/>
    </row>
    <row r="363" spans="1:19" ht="13.5" thickBot="1">
      <c r="A363" s="95" t="s">
        <v>64</v>
      </c>
      <c r="B363" s="96" t="s">
        <v>58</v>
      </c>
      <c r="C363" s="96" t="s">
        <v>10</v>
      </c>
      <c r="D363" s="97" t="s">
        <v>407</v>
      </c>
      <c r="E363" s="97" t="s">
        <v>408</v>
      </c>
      <c r="F363" s="97" t="s">
        <v>86</v>
      </c>
      <c r="G363" s="97" t="s">
        <v>179</v>
      </c>
      <c r="H363" s="97" t="s">
        <v>409</v>
      </c>
      <c r="I363" s="162"/>
      <c r="J363" s="162"/>
      <c r="K363" s="98">
        <v>30000</v>
      </c>
      <c r="L363" s="99">
        <v>23011.07</v>
      </c>
      <c r="M363" s="98">
        <v>30000</v>
      </c>
      <c r="N363" s="99">
        <v>29390.93</v>
      </c>
      <c r="O363" s="342">
        <v>30000</v>
      </c>
      <c r="P363" s="99">
        <v>418.4</v>
      </c>
      <c r="Q363" s="148">
        <v>30000</v>
      </c>
      <c r="R363" s="149">
        <v>30000</v>
      </c>
      <c r="S363" s="100"/>
    </row>
    <row r="364" spans="1:19" ht="13.5" thickBot="1">
      <c r="A364" s="95" t="s">
        <v>64</v>
      </c>
      <c r="B364" s="96" t="s">
        <v>58</v>
      </c>
      <c r="C364" s="96" t="s">
        <v>10</v>
      </c>
      <c r="D364" s="97" t="s">
        <v>407</v>
      </c>
      <c r="E364" s="97" t="s">
        <v>408</v>
      </c>
      <c r="F364" s="97" t="s">
        <v>89</v>
      </c>
      <c r="G364" s="97" t="s">
        <v>183</v>
      </c>
      <c r="H364" s="97" t="s">
        <v>409</v>
      </c>
      <c r="I364" s="162"/>
      <c r="J364" s="162"/>
      <c r="K364" s="98">
        <v>1000</v>
      </c>
      <c r="L364" s="99">
        <v>0</v>
      </c>
      <c r="M364" s="98">
        <v>1000</v>
      </c>
      <c r="N364" s="99">
        <v>0</v>
      </c>
      <c r="O364" s="342">
        <v>500</v>
      </c>
      <c r="P364" s="99">
        <v>0</v>
      </c>
      <c r="Q364" s="148">
        <v>500</v>
      </c>
      <c r="R364" s="149">
        <v>500</v>
      </c>
      <c r="S364" s="100"/>
    </row>
    <row r="365" spans="1:19" ht="13.5" thickBot="1">
      <c r="A365" s="95" t="s">
        <v>64</v>
      </c>
      <c r="B365" s="96" t="s">
        <v>58</v>
      </c>
      <c r="C365" s="96" t="s">
        <v>10</v>
      </c>
      <c r="D365" s="97" t="s">
        <v>407</v>
      </c>
      <c r="E365" s="97" t="s">
        <v>408</v>
      </c>
      <c r="F365" s="97" t="s">
        <v>90</v>
      </c>
      <c r="G365" s="97" t="s">
        <v>184</v>
      </c>
      <c r="H365" s="97" t="s">
        <v>409</v>
      </c>
      <c r="I365" s="162"/>
      <c r="J365" s="162"/>
      <c r="K365" s="98">
        <v>9000</v>
      </c>
      <c r="L365" s="99">
        <v>4464.45</v>
      </c>
      <c r="M365" s="98">
        <v>9000</v>
      </c>
      <c r="N365" s="99">
        <v>3025</v>
      </c>
      <c r="O365" s="342">
        <v>7000</v>
      </c>
      <c r="P365" s="99">
        <v>2960</v>
      </c>
      <c r="Q365" s="148">
        <v>7000</v>
      </c>
      <c r="R365" s="149">
        <v>7000</v>
      </c>
      <c r="S365" s="100"/>
    </row>
    <row r="366" spans="1:19" ht="13.5" thickBot="1">
      <c r="A366" s="95" t="s">
        <v>64</v>
      </c>
      <c r="B366" s="96" t="s">
        <v>58</v>
      </c>
      <c r="C366" s="96" t="s">
        <v>10</v>
      </c>
      <c r="D366" s="97" t="s">
        <v>407</v>
      </c>
      <c r="E366" s="97" t="s">
        <v>408</v>
      </c>
      <c r="F366" s="97" t="s">
        <v>94</v>
      </c>
      <c r="G366" s="97" t="s">
        <v>271</v>
      </c>
      <c r="H366" s="97" t="s">
        <v>409</v>
      </c>
      <c r="I366" s="162"/>
      <c r="J366" s="162"/>
      <c r="K366" s="98">
        <v>2000</v>
      </c>
      <c r="L366" s="99">
        <v>0</v>
      </c>
      <c r="M366" s="163"/>
      <c r="N366" s="164"/>
      <c r="O366" s="341"/>
      <c r="P366" s="164"/>
      <c r="Q366" s="148"/>
      <c r="R366" s="149"/>
      <c r="S366" s="100"/>
    </row>
    <row r="367" spans="1:19" ht="13.5" thickBot="1">
      <c r="A367" s="95" t="s">
        <v>64</v>
      </c>
      <c r="B367" s="96" t="s">
        <v>58</v>
      </c>
      <c r="C367" s="96" t="s">
        <v>10</v>
      </c>
      <c r="D367" s="97" t="s">
        <v>407</v>
      </c>
      <c r="E367" s="97" t="s">
        <v>408</v>
      </c>
      <c r="F367" s="97" t="s">
        <v>106</v>
      </c>
      <c r="G367" s="97" t="s">
        <v>185</v>
      </c>
      <c r="H367" s="97" t="s">
        <v>409</v>
      </c>
      <c r="I367" s="162"/>
      <c r="J367" s="162"/>
      <c r="K367" s="98">
        <v>2000</v>
      </c>
      <c r="L367" s="99">
        <v>0</v>
      </c>
      <c r="M367" s="98">
        <v>2000</v>
      </c>
      <c r="N367" s="99">
        <v>2488.8000000000002</v>
      </c>
      <c r="O367" s="342">
        <v>3000</v>
      </c>
      <c r="P367" s="99">
        <v>0</v>
      </c>
      <c r="Q367" s="148">
        <v>3000</v>
      </c>
      <c r="R367" s="149">
        <v>3000</v>
      </c>
      <c r="S367" s="100"/>
    </row>
    <row r="368" spans="1:19" ht="13.5" thickBot="1">
      <c r="A368" s="95" t="s">
        <v>64</v>
      </c>
      <c r="B368" s="96" t="s">
        <v>58</v>
      </c>
      <c r="C368" s="96" t="s">
        <v>10</v>
      </c>
      <c r="D368" s="97" t="s">
        <v>407</v>
      </c>
      <c r="E368" s="97" t="s">
        <v>408</v>
      </c>
      <c r="F368" s="97" t="s">
        <v>119</v>
      </c>
      <c r="G368" s="97" t="s">
        <v>244</v>
      </c>
      <c r="H368" s="97" t="s">
        <v>409</v>
      </c>
      <c r="I368" s="162"/>
      <c r="J368" s="162"/>
      <c r="K368" s="98">
        <v>200000</v>
      </c>
      <c r="L368" s="99">
        <v>578867.84</v>
      </c>
      <c r="M368" s="98">
        <v>250000</v>
      </c>
      <c r="N368" s="99">
        <v>224852.06</v>
      </c>
      <c r="O368" s="342">
        <v>250000</v>
      </c>
      <c r="P368" s="99">
        <v>35379.75</v>
      </c>
      <c r="Q368" s="148">
        <v>250000</v>
      </c>
      <c r="R368" s="149">
        <v>250000</v>
      </c>
      <c r="S368" s="100"/>
    </row>
    <row r="369" spans="1:19" ht="13.5" thickBot="1">
      <c r="A369" s="95" t="s">
        <v>64</v>
      </c>
      <c r="B369" s="96" t="s">
        <v>58</v>
      </c>
      <c r="C369" s="96" t="s">
        <v>10</v>
      </c>
      <c r="D369" s="97" t="s">
        <v>407</v>
      </c>
      <c r="E369" s="97" t="s">
        <v>408</v>
      </c>
      <c r="F369" s="97" t="s">
        <v>131</v>
      </c>
      <c r="G369" s="97" t="s">
        <v>206</v>
      </c>
      <c r="H369" s="97" t="s">
        <v>409</v>
      </c>
      <c r="I369" s="162"/>
      <c r="J369" s="162"/>
      <c r="K369" s="98">
        <v>500</v>
      </c>
      <c r="L369" s="99">
        <v>0</v>
      </c>
      <c r="M369" s="98">
        <v>500</v>
      </c>
      <c r="N369" s="99">
        <v>0</v>
      </c>
      <c r="O369" s="342">
        <v>500</v>
      </c>
      <c r="P369" s="99">
        <v>0</v>
      </c>
      <c r="Q369" s="148">
        <v>500</v>
      </c>
      <c r="R369" s="149">
        <v>500</v>
      </c>
      <c r="S369" s="100"/>
    </row>
    <row r="370" spans="1:19" ht="13.5" thickBot="1">
      <c r="A370" s="95" t="s">
        <v>64</v>
      </c>
      <c r="B370" s="96" t="s">
        <v>58</v>
      </c>
      <c r="C370" s="96" t="s">
        <v>10</v>
      </c>
      <c r="D370" s="97" t="s">
        <v>407</v>
      </c>
      <c r="E370" s="97" t="s">
        <v>408</v>
      </c>
      <c r="F370" s="97" t="s">
        <v>142</v>
      </c>
      <c r="G370" s="97" t="s">
        <v>187</v>
      </c>
      <c r="H370" s="97" t="s">
        <v>409</v>
      </c>
      <c r="I370" s="162"/>
      <c r="J370" s="162"/>
      <c r="K370" s="163"/>
      <c r="L370" s="164"/>
      <c r="M370" s="98">
        <v>0</v>
      </c>
      <c r="N370" s="99">
        <v>4611.97</v>
      </c>
      <c r="O370" s="341"/>
      <c r="P370" s="164"/>
      <c r="Q370" s="148"/>
      <c r="R370" s="149"/>
      <c r="S370" s="100"/>
    </row>
    <row r="371" spans="1:19" ht="13.5" thickBot="1">
      <c r="A371" s="95" t="s">
        <v>64</v>
      </c>
      <c r="B371" s="96" t="s">
        <v>58</v>
      </c>
      <c r="C371" s="96" t="s">
        <v>10</v>
      </c>
      <c r="D371" s="97" t="s">
        <v>407</v>
      </c>
      <c r="E371" s="97" t="s">
        <v>408</v>
      </c>
      <c r="F371" s="97" t="s">
        <v>259</v>
      </c>
      <c r="G371" s="97" t="s">
        <v>260</v>
      </c>
      <c r="H371" s="97" t="s">
        <v>409</v>
      </c>
      <c r="I371" s="162"/>
      <c r="J371" s="162"/>
      <c r="K371" s="163"/>
      <c r="L371" s="164"/>
      <c r="M371" s="98">
        <v>0</v>
      </c>
      <c r="N371" s="99">
        <v>0</v>
      </c>
      <c r="O371" s="341"/>
      <c r="P371" s="164"/>
      <c r="Q371" s="148"/>
      <c r="R371" s="150"/>
      <c r="S371" s="100"/>
    </row>
    <row r="372" spans="1:19" ht="13.5" thickBot="1">
      <c r="A372" s="95" t="s">
        <v>64</v>
      </c>
      <c r="B372" s="96" t="s">
        <v>58</v>
      </c>
      <c r="C372" s="96" t="s">
        <v>10</v>
      </c>
      <c r="D372" s="97" t="s">
        <v>410</v>
      </c>
      <c r="E372" s="97" t="s">
        <v>411</v>
      </c>
      <c r="F372" s="97" t="s">
        <v>83</v>
      </c>
      <c r="G372" s="97" t="s">
        <v>178</v>
      </c>
      <c r="H372" s="97" t="s">
        <v>409</v>
      </c>
      <c r="I372" s="162"/>
      <c r="J372" s="162"/>
      <c r="K372" s="172"/>
      <c r="L372" s="173"/>
      <c r="M372" s="172"/>
      <c r="N372" s="173"/>
      <c r="O372" s="345">
        <v>0</v>
      </c>
      <c r="P372" s="104">
        <v>51825.75</v>
      </c>
      <c r="Q372" s="151">
        <v>0</v>
      </c>
      <c r="R372" s="152">
        <v>0</v>
      </c>
      <c r="S372" s="100"/>
    </row>
    <row r="373" spans="1:19" ht="13.5" thickBot="1">
      <c r="A373" s="174"/>
      <c r="B373" s="174"/>
      <c r="C373" s="175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347"/>
      <c r="P373" s="174"/>
      <c r="S373" s="308"/>
    </row>
    <row r="374" spans="1:19" ht="13.5" thickBot="1">
      <c r="A374" s="174"/>
      <c r="B374" s="174"/>
      <c r="C374" s="175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340">
        <f>SUM(O5:O372)</f>
        <v>55700036.489999995</v>
      </c>
      <c r="P374" s="176">
        <f>SUM(P5:P372)</f>
        <v>7858914.120000001</v>
      </c>
      <c r="Q374" s="153">
        <f>SUM(Q5:Q372)</f>
        <v>16449444.066666666</v>
      </c>
      <c r="R374" s="153">
        <f>SUM(R5:R372)</f>
        <v>16357924</v>
      </c>
      <c r="S374" s="308"/>
    </row>
  </sheetData>
  <mergeCells count="1">
    <mergeCell ref="S310:S31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4AAF6-CB10-4A05-AD2C-6CA22EA17FD0}">
  <sheetPr>
    <tabColor rgb="FF00B050"/>
  </sheetPr>
  <dimension ref="A1:M28"/>
  <sheetViews>
    <sheetView workbookViewId="0">
      <selection activeCell="D4" sqref="D4:D6"/>
    </sheetView>
  </sheetViews>
  <sheetFormatPr defaultRowHeight="12.75"/>
  <cols>
    <col min="1" max="1" width="17" bestFit="1" customWidth="1"/>
    <col min="2" max="2" width="16.42578125" bestFit="1" customWidth="1"/>
    <col min="3" max="3" width="9.140625" bestFit="1" customWidth="1"/>
    <col min="4" max="6" width="10.140625" bestFit="1" customWidth="1"/>
    <col min="7" max="7" width="9.140625" bestFit="1" customWidth="1"/>
    <col min="8" max="8" width="4.5703125" bestFit="1" customWidth="1"/>
    <col min="9" max="11" width="9.140625" bestFit="1" customWidth="1"/>
    <col min="12" max="12" width="11.7109375" bestFit="1" customWidth="1"/>
    <col min="13" max="13" width="12" bestFit="1" customWidth="1"/>
    <col min="14" max="14" width="11" bestFit="1" customWidth="1"/>
    <col min="15" max="15" width="6" bestFit="1" customWidth="1"/>
    <col min="16" max="16" width="11" bestFit="1" customWidth="1"/>
    <col min="17" max="17" width="12.140625" bestFit="1" customWidth="1"/>
    <col min="18" max="30" width="19" bestFit="1" customWidth="1"/>
    <col min="31" max="32" width="24.42578125" bestFit="1" customWidth="1"/>
  </cols>
  <sheetData>
    <row r="1" spans="1:13">
      <c r="A1" s="310" t="s">
        <v>52</v>
      </c>
      <c r="B1" s="308" t="s">
        <v>64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3" spans="1:13">
      <c r="A3" s="308"/>
      <c r="B3" s="310" t="s">
        <v>412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>
      <c r="A4" s="310" t="s">
        <v>413</v>
      </c>
      <c r="B4" s="308" t="s">
        <v>53</v>
      </c>
      <c r="C4" s="308" t="s">
        <v>54</v>
      </c>
      <c r="D4" s="308" t="s">
        <v>55</v>
      </c>
      <c r="E4" s="308" t="s">
        <v>56</v>
      </c>
      <c r="F4" s="308" t="s">
        <v>57</v>
      </c>
      <c r="G4" s="308" t="s">
        <v>58</v>
      </c>
      <c r="H4" s="308" t="s">
        <v>59</v>
      </c>
      <c r="I4" s="308" t="s">
        <v>60</v>
      </c>
      <c r="J4" s="308" t="s">
        <v>61</v>
      </c>
      <c r="K4" s="308" t="s">
        <v>62</v>
      </c>
      <c r="L4" s="308" t="s">
        <v>63</v>
      </c>
      <c r="M4" s="308"/>
    </row>
    <row r="5" spans="1:13">
      <c r="A5" s="309" t="s">
        <v>414</v>
      </c>
      <c r="B5" s="311"/>
      <c r="C5" s="311">
        <v>31122.493559999999</v>
      </c>
      <c r="D5" s="311"/>
      <c r="E5" s="311"/>
      <c r="F5" s="311">
        <v>22560.439756</v>
      </c>
      <c r="G5" s="311"/>
      <c r="H5" s="311"/>
      <c r="I5" s="311"/>
      <c r="J5" s="311"/>
      <c r="K5" s="311"/>
      <c r="L5" s="311">
        <v>53682.933315999995</v>
      </c>
      <c r="M5" s="308"/>
    </row>
    <row r="6" spans="1:13">
      <c r="A6" s="309" t="s">
        <v>415</v>
      </c>
      <c r="B6" s="311">
        <v>82725.277600000016</v>
      </c>
      <c r="C6" s="311">
        <v>97102.716750000021</v>
      </c>
      <c r="D6" s="311">
        <v>371486.89041300007</v>
      </c>
      <c r="E6" s="311">
        <v>796647.55312799988</v>
      </c>
      <c r="F6" s="311">
        <v>439333.21549600002</v>
      </c>
      <c r="G6" s="311">
        <v>70027.198400000008</v>
      </c>
      <c r="H6" s="311">
        <v>0</v>
      </c>
      <c r="I6" s="311">
        <v>88794.172600000005</v>
      </c>
      <c r="J6" s="311">
        <v>66700</v>
      </c>
      <c r="K6" s="311">
        <v>40734.621500000001</v>
      </c>
      <c r="L6" s="311">
        <v>2053551.6458869998</v>
      </c>
      <c r="M6" s="308"/>
    </row>
    <row r="8" spans="1:13" s="308" customFormat="1">
      <c r="A8" s="13" t="s">
        <v>416</v>
      </c>
      <c r="B8" s="88">
        <f>GETPIVOTDATA("Sum of PERS - 999",$A$3,"OR","10")-$C18</f>
        <v>6347.8146258000197</v>
      </c>
      <c r="C8" s="88">
        <f>GETPIVOTDATA("Sum of PERS - 999",$A$3,"OR","11")-C19</f>
        <v>13582.407239700013</v>
      </c>
      <c r="D8" s="88">
        <f>GETPIVOTDATA("Sum of PERS - 999",$A$3,"OR","12")-C20</f>
        <v>-20515.788936999976</v>
      </c>
      <c r="E8" s="88">
        <f>GETPIVOTDATA("Sum of PERS - 999",$A$3,"OR","13")-C21</f>
        <v>47578.757637599832</v>
      </c>
      <c r="F8" s="88">
        <f>GETPIVOTDATA("Sum of PERS - 999",$A$3,"OR","14")-C22</f>
        <v>846.75642600009451</v>
      </c>
      <c r="G8" s="88">
        <f>GETPIVOTDATA("Sum of PERS - 999",$A$3,"OR","15")-C23</f>
        <v>913.39824000000954</v>
      </c>
      <c r="H8" s="88">
        <f>GETPIVOTDATA("Sum of PERS - 999",$A$3,"OR","16")-C24</f>
        <v>0</v>
      </c>
      <c r="I8" s="88">
        <f>GETPIVOTDATA("Sum of PERS - 999",$A$3,"OR","D0")-C25</f>
        <v>1158.1848599999939</v>
      </c>
      <c r="J8" s="88">
        <f>GETPIVOTDATA("Sum of PERS - 999",$A$3,"OR","R0")-C26</f>
        <v>-7075</v>
      </c>
      <c r="K8" s="88">
        <f>GETPIVOTDATA("Sum of PERS - 999",$A$3,"OR","R2")-C27</f>
        <v>-473.76221000000078</v>
      </c>
      <c r="L8" s="88">
        <f>SUM(B8:K8)</f>
        <v>42362.767882099986</v>
      </c>
      <c r="M8" s="14"/>
    </row>
    <row r="9" spans="1:13" s="308" customFormat="1">
      <c r="A9" s="13" t="s">
        <v>417</v>
      </c>
      <c r="B9" s="88">
        <v>0</v>
      </c>
      <c r="C9" s="88">
        <f>GETPIVOTDATA("Sum of STRS - 930",$A$3,"OR","11")-B19</f>
        <v>-4848.227640000001</v>
      </c>
      <c r="D9" s="88">
        <v>0</v>
      </c>
      <c r="E9" s="88">
        <v>0</v>
      </c>
      <c r="F9" s="88">
        <f>GETPIVOTDATA("Sum of STRS - 930",$A$3,"OR","14")-B22</f>
        <v>249.72882922000281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f>SUM(B9:K9)</f>
        <v>-4598.4988107799982</v>
      </c>
      <c r="M9" s="14"/>
    </row>
    <row r="15" spans="1:13">
      <c r="A15" s="308" t="s">
        <v>418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</row>
    <row r="16" spans="1:13">
      <c r="A16" s="308"/>
      <c r="B16" s="308"/>
      <c r="C16" s="308"/>
      <c r="D16" s="308" t="s">
        <v>419</v>
      </c>
      <c r="E16" s="308" t="s">
        <v>420</v>
      </c>
      <c r="F16" s="308" t="s">
        <v>421</v>
      </c>
      <c r="G16" s="308" t="s">
        <v>420</v>
      </c>
      <c r="H16" s="308"/>
      <c r="I16" s="308"/>
      <c r="J16" s="308"/>
      <c r="K16" s="308"/>
      <c r="L16" s="308"/>
      <c r="M16" s="308"/>
    </row>
    <row r="17" spans="1:7">
      <c r="A17" s="13" t="s">
        <v>422</v>
      </c>
      <c r="B17" s="308" t="s">
        <v>414</v>
      </c>
      <c r="C17" s="308" t="s">
        <v>415</v>
      </c>
      <c r="D17" s="324">
        <f>[3]Premise!$D$41</f>
        <v>-1.4241486068111486E-2</v>
      </c>
      <c r="E17" s="308"/>
      <c r="F17" s="324">
        <f>[3]Premise!$D$43</f>
        <v>0.11111111111111116</v>
      </c>
      <c r="G17" s="308"/>
    </row>
    <row r="18" spans="1:7">
      <c r="A18" s="323">
        <v>10</v>
      </c>
      <c r="B18" s="14"/>
      <c r="C18" s="14">
        <v>76377.462974199996</v>
      </c>
      <c r="D18" s="90">
        <f>+B18*(1+D$17)</f>
        <v>0</v>
      </c>
      <c r="E18" s="90">
        <f>+D18-B18</f>
        <v>0</v>
      </c>
      <c r="F18" s="90">
        <f>+C18*(1+F$17)</f>
        <v>84863.847749111112</v>
      </c>
      <c r="G18" s="90">
        <f>+F18-C18</f>
        <v>8486.3847749111155</v>
      </c>
    </row>
    <row r="19" spans="1:7">
      <c r="A19" s="323">
        <v>11</v>
      </c>
      <c r="B19" s="14">
        <v>35970.7212</v>
      </c>
      <c r="C19" s="14">
        <v>83520.309510300009</v>
      </c>
      <c r="D19" s="90">
        <f t="shared" ref="D19:D27" si="0">+B19*(1+D$17)</f>
        <v>35458.444675170278</v>
      </c>
      <c r="E19" s="90">
        <f t="shared" ref="E19:E27" si="1">+D19-B19</f>
        <v>-512.27652482972189</v>
      </c>
      <c r="F19" s="90">
        <f t="shared" ref="F19:F27" si="2">+C19*(1+F$17)</f>
        <v>92800.343900333348</v>
      </c>
      <c r="G19" s="90">
        <f t="shared" ref="G19:G27" si="3">+F19-C19</f>
        <v>9280.0343900333392</v>
      </c>
    </row>
    <row r="20" spans="1:7">
      <c r="A20" s="323">
        <v>12</v>
      </c>
      <c r="B20" s="14"/>
      <c r="C20" s="14">
        <v>392002.67935000005</v>
      </c>
      <c r="D20" s="90">
        <f t="shared" si="0"/>
        <v>0</v>
      </c>
      <c r="E20" s="90">
        <f t="shared" si="1"/>
        <v>0</v>
      </c>
      <c r="F20" s="90">
        <f t="shared" si="2"/>
        <v>435558.53261111118</v>
      </c>
      <c r="G20" s="90">
        <f t="shared" si="3"/>
        <v>43555.85326111113</v>
      </c>
    </row>
    <row r="21" spans="1:7">
      <c r="A21" s="323">
        <v>13</v>
      </c>
      <c r="B21" s="14"/>
      <c r="C21" s="14">
        <v>749068.79549040005</v>
      </c>
      <c r="D21" s="90">
        <f t="shared" si="0"/>
        <v>0</v>
      </c>
      <c r="E21" s="90">
        <f t="shared" si="1"/>
        <v>0</v>
      </c>
      <c r="F21" s="90">
        <f t="shared" si="2"/>
        <v>832298.66165600007</v>
      </c>
      <c r="G21" s="90">
        <f t="shared" si="3"/>
        <v>83229.866165600019</v>
      </c>
    </row>
    <row r="22" spans="1:7">
      <c r="A22" s="323">
        <v>14</v>
      </c>
      <c r="B22" s="14">
        <v>22310.710926779997</v>
      </c>
      <c r="C22" s="14">
        <v>438486.45906999992</v>
      </c>
      <c r="D22" s="90">
        <f t="shared" si="0"/>
        <v>21992.973247946597</v>
      </c>
      <c r="E22" s="90">
        <f t="shared" si="1"/>
        <v>-317.73767883340042</v>
      </c>
      <c r="F22" s="90">
        <f t="shared" si="2"/>
        <v>487207.17674444435</v>
      </c>
      <c r="G22" s="90">
        <f t="shared" si="3"/>
        <v>48720.71767444443</v>
      </c>
    </row>
    <row r="23" spans="1:7">
      <c r="A23" s="323">
        <v>15</v>
      </c>
      <c r="B23" s="14"/>
      <c r="C23" s="14">
        <v>69113.800159999999</v>
      </c>
      <c r="D23" s="90">
        <f t="shared" si="0"/>
        <v>0</v>
      </c>
      <c r="E23" s="90">
        <f t="shared" si="1"/>
        <v>0</v>
      </c>
      <c r="F23" s="90">
        <f t="shared" si="2"/>
        <v>76793.111288888889</v>
      </c>
      <c r="G23" s="90">
        <f t="shared" si="3"/>
        <v>7679.3111288888904</v>
      </c>
    </row>
    <row r="24" spans="1:7">
      <c r="A24" s="323">
        <v>16</v>
      </c>
      <c r="B24" s="14"/>
      <c r="C24" s="14">
        <v>0</v>
      </c>
      <c r="D24" s="90">
        <f t="shared" si="0"/>
        <v>0</v>
      </c>
      <c r="E24" s="90">
        <f t="shared" si="1"/>
        <v>0</v>
      </c>
      <c r="F24" s="90">
        <f t="shared" si="2"/>
        <v>0</v>
      </c>
      <c r="G24" s="90">
        <f t="shared" si="3"/>
        <v>0</v>
      </c>
    </row>
    <row r="25" spans="1:7">
      <c r="A25" s="323" t="s">
        <v>60</v>
      </c>
      <c r="B25" s="14"/>
      <c r="C25" s="14">
        <v>87635.987740000011</v>
      </c>
      <c r="D25" s="90">
        <f t="shared" si="0"/>
        <v>0</v>
      </c>
      <c r="E25" s="90">
        <f t="shared" si="1"/>
        <v>0</v>
      </c>
      <c r="F25" s="90">
        <f t="shared" si="2"/>
        <v>97373.319711111122</v>
      </c>
      <c r="G25" s="90">
        <f t="shared" si="3"/>
        <v>9737.3319711111108</v>
      </c>
    </row>
    <row r="26" spans="1:7">
      <c r="A26" s="323" t="s">
        <v>61</v>
      </c>
      <c r="B26" s="14"/>
      <c r="C26" s="14">
        <v>73775</v>
      </c>
      <c r="D26" s="90">
        <f t="shared" si="0"/>
        <v>0</v>
      </c>
      <c r="E26" s="90">
        <f t="shared" si="1"/>
        <v>0</v>
      </c>
      <c r="F26" s="90">
        <f t="shared" si="2"/>
        <v>81972.222222222219</v>
      </c>
      <c r="G26" s="90">
        <f t="shared" si="3"/>
        <v>8197.222222222219</v>
      </c>
    </row>
    <row r="27" spans="1:7">
      <c r="A27" s="323" t="s">
        <v>62</v>
      </c>
      <c r="B27" s="14"/>
      <c r="C27" s="14">
        <v>41208.383710000002</v>
      </c>
      <c r="D27" s="90">
        <f t="shared" si="0"/>
        <v>0</v>
      </c>
      <c r="E27" s="90">
        <f t="shared" si="1"/>
        <v>0</v>
      </c>
      <c r="F27" s="90">
        <f t="shared" si="2"/>
        <v>45787.093011111116</v>
      </c>
      <c r="G27" s="90">
        <f t="shared" si="3"/>
        <v>4578.7093011111137</v>
      </c>
    </row>
    <row r="28" spans="1:7">
      <c r="A28" s="322" t="s">
        <v>63</v>
      </c>
      <c r="B28" s="14">
        <v>58281.432126779997</v>
      </c>
      <c r="C28" s="14">
        <v>2011188.8780049002</v>
      </c>
      <c r="D28" s="90">
        <f>SUM(D18:D27)</f>
        <v>57451.417923116875</v>
      </c>
      <c r="E28" s="90">
        <f>SUM(E18:E27)</f>
        <v>-830.01420366312232</v>
      </c>
      <c r="F28" s="90">
        <f>SUM(F18:F27)</f>
        <v>2234654.308894333</v>
      </c>
      <c r="G28" s="90">
        <f>SUM(G18:G27)</f>
        <v>223465.43088943334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BC2E3-5B7F-4FC4-9199-57F2C76D47ED}">
  <sheetPr>
    <tabColor rgb="FF00B050"/>
  </sheetPr>
  <dimension ref="A2:M45"/>
  <sheetViews>
    <sheetView topLeftCell="C1" workbookViewId="0">
      <selection activeCell="C1" sqref="A1:XFD1048576"/>
    </sheetView>
  </sheetViews>
  <sheetFormatPr defaultRowHeight="12.75"/>
  <cols>
    <col min="1" max="2" width="29.28515625" hidden="1" customWidth="1"/>
    <col min="3" max="3" width="14.28515625" customWidth="1"/>
    <col min="4" max="4" width="29.28515625" bestFit="1" customWidth="1"/>
    <col min="5" max="5" width="14.85546875" style="90" customWidth="1"/>
    <col min="6" max="8" width="9.140625" hidden="1" customWidth="1"/>
    <col min="9" max="9" width="9.140625" style="308" customWidth="1"/>
    <col min="11" max="11" width="29.28515625" bestFit="1" customWidth="1"/>
    <col min="12" max="12" width="13.28515625" style="90" bestFit="1" customWidth="1"/>
  </cols>
  <sheetData>
    <row r="2" spans="1:13" ht="13.5" thickBot="1">
      <c r="A2" s="308"/>
      <c r="B2" s="308"/>
      <c r="C2" s="308"/>
      <c r="D2" s="308"/>
      <c r="F2" s="308"/>
      <c r="G2" s="308"/>
      <c r="H2" s="308"/>
      <c r="J2" s="308"/>
      <c r="K2" s="308"/>
      <c r="M2" s="308"/>
    </row>
    <row r="3" spans="1:13" ht="13.5" thickTop="1">
      <c r="A3" s="308" t="s">
        <v>50</v>
      </c>
      <c r="B3" s="308"/>
      <c r="C3" s="374" t="s">
        <v>423</v>
      </c>
      <c r="D3" s="375"/>
      <c r="E3" s="375"/>
      <c r="F3" s="376"/>
      <c r="G3" s="308"/>
      <c r="H3" s="308"/>
      <c r="I3" s="355"/>
      <c r="J3" s="374" t="s">
        <v>424</v>
      </c>
      <c r="K3" s="375"/>
      <c r="L3" s="375"/>
      <c r="M3" s="376"/>
    </row>
    <row r="4" spans="1:13">
      <c r="A4" s="308" t="s">
        <v>51</v>
      </c>
      <c r="B4" s="308" t="s">
        <v>52</v>
      </c>
      <c r="C4" s="355" t="s">
        <v>425</v>
      </c>
      <c r="D4" s="356" t="s">
        <v>426</v>
      </c>
      <c r="E4" s="357" t="s">
        <v>35</v>
      </c>
      <c r="F4" s="358"/>
      <c r="G4" s="308" t="s">
        <v>50</v>
      </c>
      <c r="H4" s="308"/>
      <c r="I4" s="355"/>
      <c r="J4" s="355" t="s">
        <v>425</v>
      </c>
      <c r="K4" s="356" t="s">
        <v>426</v>
      </c>
      <c r="L4" s="357" t="s">
        <v>35</v>
      </c>
      <c r="M4" s="358"/>
    </row>
    <row r="5" spans="1:13">
      <c r="A5" s="308">
        <v>13</v>
      </c>
      <c r="B5" s="308" t="s">
        <v>64</v>
      </c>
      <c r="C5" s="355" t="s">
        <v>427</v>
      </c>
      <c r="D5" s="356" t="s">
        <v>428</v>
      </c>
      <c r="E5" s="357">
        <v>0</v>
      </c>
      <c r="F5" s="358"/>
      <c r="G5" s="308" t="s">
        <v>51</v>
      </c>
      <c r="H5" s="308" t="s">
        <v>52</v>
      </c>
      <c r="I5" s="355"/>
      <c r="J5" s="367" t="s">
        <v>427</v>
      </c>
      <c r="K5" s="368" t="s">
        <v>428</v>
      </c>
      <c r="L5" s="369">
        <v>0</v>
      </c>
      <c r="M5" s="358">
        <f>IF(C5=J5,0,+C5)</f>
        <v>0</v>
      </c>
    </row>
    <row r="6" spans="1:13">
      <c r="A6" s="308" t="s">
        <v>56</v>
      </c>
      <c r="B6" s="308" t="s">
        <v>64</v>
      </c>
      <c r="C6" s="355" t="s">
        <v>429</v>
      </c>
      <c r="D6" s="359" t="s">
        <v>430</v>
      </c>
      <c r="E6" s="357">
        <v>123170.1566885255</v>
      </c>
      <c r="F6" s="358"/>
      <c r="G6" s="308">
        <v>13</v>
      </c>
      <c r="H6" s="308" t="s">
        <v>64</v>
      </c>
      <c r="I6" s="355"/>
      <c r="J6" s="360"/>
      <c r="K6" s="359"/>
      <c r="L6" s="361"/>
      <c r="M6" s="362" t="str">
        <f t="shared" ref="M6:M43" si="0">IF(C6=J6,0,+C6)</f>
        <v>?</v>
      </c>
    </row>
    <row r="7" spans="1:13">
      <c r="A7" s="308"/>
      <c r="B7" s="308"/>
      <c r="C7" s="355" t="s">
        <v>429</v>
      </c>
      <c r="D7" s="359" t="s">
        <v>30</v>
      </c>
      <c r="E7" s="357">
        <v>123170.1566885255</v>
      </c>
      <c r="F7" s="358"/>
      <c r="G7" s="308"/>
      <c r="H7" s="308"/>
      <c r="I7" s="355"/>
      <c r="J7" s="360"/>
      <c r="K7" s="359"/>
      <c r="L7" s="361"/>
      <c r="M7" s="362" t="str">
        <f t="shared" si="0"/>
        <v>?</v>
      </c>
    </row>
    <row r="8" spans="1:13">
      <c r="A8" s="308"/>
      <c r="B8" s="308"/>
      <c r="C8" s="355" t="s">
        <v>431</v>
      </c>
      <c r="D8" s="356" t="s">
        <v>432</v>
      </c>
      <c r="E8" s="357">
        <v>177975.67228282552</v>
      </c>
      <c r="F8" s="358"/>
      <c r="G8" s="308"/>
      <c r="H8" s="308"/>
      <c r="I8" s="355"/>
      <c r="J8" s="355" t="s">
        <v>431</v>
      </c>
      <c r="K8" s="356" t="s">
        <v>432</v>
      </c>
      <c r="L8" s="357">
        <v>175706.3755928255</v>
      </c>
      <c r="M8" s="358">
        <f t="shared" si="0"/>
        <v>0</v>
      </c>
    </row>
    <row r="9" spans="1:13">
      <c r="A9" s="308"/>
      <c r="B9" s="308"/>
      <c r="C9" s="355" t="s">
        <v>433</v>
      </c>
      <c r="D9" s="356" t="s">
        <v>434</v>
      </c>
      <c r="E9" s="357">
        <v>170117.4136874855</v>
      </c>
      <c r="F9" s="358"/>
      <c r="G9" s="308"/>
      <c r="H9" s="308"/>
      <c r="I9" s="355"/>
      <c r="J9" s="355" t="s">
        <v>433</v>
      </c>
      <c r="K9" s="356" t="s">
        <v>434</v>
      </c>
      <c r="L9" s="357">
        <v>167980.2572874855</v>
      </c>
      <c r="M9" s="358">
        <f t="shared" si="0"/>
        <v>0</v>
      </c>
    </row>
    <row r="10" spans="1:13">
      <c r="A10" s="308"/>
      <c r="B10" s="308"/>
      <c r="C10" s="355" t="s">
        <v>435</v>
      </c>
      <c r="D10" s="356" t="s">
        <v>436</v>
      </c>
      <c r="E10" s="357">
        <v>125788.2779105255</v>
      </c>
      <c r="F10" s="358"/>
      <c r="G10" s="308"/>
      <c r="H10" s="308"/>
      <c r="I10" s="355"/>
      <c r="J10" s="355" t="s">
        <v>435</v>
      </c>
      <c r="K10" s="356" t="s">
        <v>436</v>
      </c>
      <c r="L10" s="357">
        <v>124414.01127052549</v>
      </c>
      <c r="M10" s="358">
        <f t="shared" si="0"/>
        <v>0</v>
      </c>
    </row>
    <row r="11" spans="1:13">
      <c r="A11" s="308"/>
      <c r="B11" s="308"/>
      <c r="C11" s="355" t="s">
        <v>437</v>
      </c>
      <c r="D11" s="356" t="s">
        <v>436</v>
      </c>
      <c r="E11" s="357">
        <v>152501.45387284551</v>
      </c>
      <c r="F11" s="358"/>
      <c r="G11" s="308"/>
      <c r="H11" s="308"/>
      <c r="I11" s="355"/>
      <c r="J11" s="355" t="s">
        <v>437</v>
      </c>
      <c r="K11" s="356" t="s">
        <v>436</v>
      </c>
      <c r="L11" s="357">
        <v>150667.46231284551</v>
      </c>
      <c r="M11" s="358">
        <f t="shared" si="0"/>
        <v>0</v>
      </c>
    </row>
    <row r="12" spans="1:13">
      <c r="A12" s="308"/>
      <c r="B12" s="308"/>
      <c r="C12" s="355" t="s">
        <v>438</v>
      </c>
      <c r="D12" s="356" t="s">
        <v>439</v>
      </c>
      <c r="E12" s="357">
        <v>128471.83211620551</v>
      </c>
      <c r="F12" s="358"/>
      <c r="G12" s="308"/>
      <c r="H12" s="308"/>
      <c r="I12" s="355"/>
      <c r="J12" s="355" t="s">
        <v>438</v>
      </c>
      <c r="K12" s="356" t="s">
        <v>439</v>
      </c>
      <c r="L12" s="357">
        <v>127051.3823962055</v>
      </c>
      <c r="M12" s="358">
        <f t="shared" si="0"/>
        <v>0</v>
      </c>
    </row>
    <row r="13" spans="1:13">
      <c r="A13" s="308"/>
      <c r="B13" s="308"/>
      <c r="C13" s="355" t="s">
        <v>440</v>
      </c>
      <c r="D13" s="356" t="s">
        <v>441</v>
      </c>
      <c r="E13" s="357">
        <v>159288.0276905855</v>
      </c>
      <c r="F13" s="358"/>
      <c r="G13" s="308"/>
      <c r="H13" s="308"/>
      <c r="I13" s="355"/>
      <c r="J13" s="355" t="s">
        <v>440</v>
      </c>
      <c r="K13" s="356" t="s">
        <v>442</v>
      </c>
      <c r="L13" s="357">
        <v>157337.24144058549</v>
      </c>
      <c r="M13" s="358">
        <f t="shared" si="0"/>
        <v>0</v>
      </c>
    </row>
    <row r="14" spans="1:13">
      <c r="A14" s="308"/>
      <c r="B14" s="308"/>
      <c r="C14" s="355" t="s">
        <v>443</v>
      </c>
      <c r="D14" s="356" t="s">
        <v>444</v>
      </c>
      <c r="E14" s="357">
        <v>177975.67228282552</v>
      </c>
      <c r="F14" s="358"/>
      <c r="G14" s="308"/>
      <c r="H14" s="308"/>
      <c r="I14" s="355"/>
      <c r="J14" s="355" t="s">
        <v>443</v>
      </c>
      <c r="K14" s="356" t="s">
        <v>445</v>
      </c>
      <c r="L14" s="357">
        <v>175706.3755928255</v>
      </c>
      <c r="M14" s="358">
        <f t="shared" si="0"/>
        <v>0</v>
      </c>
    </row>
    <row r="15" spans="1:13">
      <c r="A15" s="308"/>
      <c r="B15" s="308"/>
      <c r="C15" s="355" t="s">
        <v>446</v>
      </c>
      <c r="D15" s="356" t="s">
        <v>447</v>
      </c>
      <c r="E15" s="357">
        <v>118123.95857212551</v>
      </c>
      <c r="F15" s="358"/>
      <c r="G15" s="308"/>
      <c r="H15" s="308"/>
      <c r="I15" s="355"/>
      <c r="J15" s="355" t="s">
        <v>446</v>
      </c>
      <c r="K15" s="356" t="s">
        <v>447</v>
      </c>
      <c r="L15" s="357">
        <v>116881.5923321255</v>
      </c>
      <c r="M15" s="358">
        <f t="shared" si="0"/>
        <v>0</v>
      </c>
    </row>
    <row r="16" spans="1:13">
      <c r="A16" s="308"/>
      <c r="B16" s="308"/>
      <c r="C16" s="355" t="s">
        <v>448</v>
      </c>
      <c r="D16" s="356" t="s">
        <v>436</v>
      </c>
      <c r="E16" s="357">
        <v>118123.95857212551</v>
      </c>
      <c r="F16" s="358"/>
      <c r="G16" s="308"/>
      <c r="H16" s="308"/>
      <c r="I16" s="355"/>
      <c r="J16" s="355" t="s">
        <v>448</v>
      </c>
      <c r="K16" s="356" t="s">
        <v>436</v>
      </c>
      <c r="L16" s="357">
        <v>116881.5923321255</v>
      </c>
      <c r="M16" s="358">
        <f t="shared" si="0"/>
        <v>0</v>
      </c>
    </row>
    <row r="17" spans="3:13">
      <c r="C17" s="355" t="s">
        <v>449</v>
      </c>
      <c r="D17" s="356" t="s">
        <v>450</v>
      </c>
      <c r="E17" s="357">
        <v>125788.34045675991</v>
      </c>
      <c r="F17" s="358"/>
      <c r="G17" s="308"/>
      <c r="H17" s="308"/>
      <c r="I17" s="355"/>
      <c r="J17" s="355" t="s">
        <v>449</v>
      </c>
      <c r="K17" s="356" t="s">
        <v>450</v>
      </c>
      <c r="L17" s="357">
        <v>135365.72915116549</v>
      </c>
      <c r="M17" s="358">
        <f t="shared" si="0"/>
        <v>0</v>
      </c>
    </row>
    <row r="18" spans="3:13">
      <c r="C18" s="355" t="s">
        <v>451</v>
      </c>
      <c r="D18" s="356" t="s">
        <v>434</v>
      </c>
      <c r="E18" s="357">
        <v>166418.15140180552</v>
      </c>
      <c r="F18" s="358"/>
      <c r="G18" s="308"/>
      <c r="H18" s="308"/>
      <c r="I18" s="355"/>
      <c r="J18" s="355" t="s">
        <v>451</v>
      </c>
      <c r="K18" s="356" t="s">
        <v>434</v>
      </c>
      <c r="L18" s="357">
        <v>164344.65808180551</v>
      </c>
      <c r="M18" s="358">
        <f t="shared" si="0"/>
        <v>0</v>
      </c>
    </row>
    <row r="19" spans="3:13">
      <c r="C19" s="355" t="s">
        <v>452</v>
      </c>
      <c r="D19" s="356" t="s">
        <v>453</v>
      </c>
      <c r="E19" s="357">
        <v>177975.6321890855</v>
      </c>
      <c r="F19" s="358"/>
      <c r="G19" s="308"/>
      <c r="H19" s="308"/>
      <c r="I19" s="355"/>
      <c r="J19" s="355" t="s">
        <v>452</v>
      </c>
      <c r="K19" s="356" t="s">
        <v>453</v>
      </c>
      <c r="L19" s="357">
        <v>175706.3361890855</v>
      </c>
      <c r="M19" s="358">
        <f t="shared" si="0"/>
        <v>0</v>
      </c>
    </row>
    <row r="20" spans="3:13">
      <c r="C20" s="355" t="s">
        <v>454</v>
      </c>
      <c r="D20" s="356" t="s">
        <v>436</v>
      </c>
      <c r="E20" s="357">
        <v>139893.7367674055</v>
      </c>
      <c r="F20" s="358"/>
      <c r="G20" s="308"/>
      <c r="H20" s="308"/>
      <c r="I20" s="355"/>
      <c r="J20" s="355" t="s">
        <v>454</v>
      </c>
      <c r="K20" s="356" t="s">
        <v>455</v>
      </c>
      <c r="L20" s="357">
        <v>138276.7198474055</v>
      </c>
      <c r="M20" s="358">
        <f t="shared" si="0"/>
        <v>0</v>
      </c>
    </row>
    <row r="21" spans="3:13">
      <c r="C21" s="355" t="s">
        <v>456</v>
      </c>
      <c r="D21" s="356" t="s">
        <v>450</v>
      </c>
      <c r="E21" s="357">
        <v>146221.96612248354</v>
      </c>
      <c r="F21" s="358"/>
      <c r="G21" s="308"/>
      <c r="H21" s="308"/>
      <c r="I21" s="355"/>
      <c r="J21" s="355" t="s">
        <v>456</v>
      </c>
      <c r="K21" s="356" t="s">
        <v>450</v>
      </c>
      <c r="L21" s="357">
        <v>138456.7198474055</v>
      </c>
      <c r="M21" s="358">
        <f t="shared" si="0"/>
        <v>0</v>
      </c>
    </row>
    <row r="22" spans="3:13">
      <c r="C22" s="355" t="s">
        <v>457</v>
      </c>
      <c r="D22" s="356" t="s">
        <v>458</v>
      </c>
      <c r="E22" s="357">
        <v>142929.9555101255</v>
      </c>
      <c r="F22" s="358"/>
      <c r="G22" s="308"/>
      <c r="H22" s="308"/>
      <c r="I22" s="355"/>
      <c r="J22" s="355" t="s">
        <v>457</v>
      </c>
      <c r="K22" s="356" t="s">
        <v>458</v>
      </c>
      <c r="L22" s="357">
        <v>141260.6862701255</v>
      </c>
      <c r="M22" s="358">
        <f t="shared" si="0"/>
        <v>0</v>
      </c>
    </row>
    <row r="23" spans="3:13">
      <c r="C23" s="355" t="s">
        <v>459</v>
      </c>
      <c r="D23" s="356" t="s">
        <v>460</v>
      </c>
      <c r="E23" s="357">
        <v>118303.95857212551</v>
      </c>
      <c r="F23" s="358"/>
      <c r="G23" s="308"/>
      <c r="H23" s="308"/>
      <c r="I23" s="355"/>
      <c r="J23" s="355" t="s">
        <v>459</v>
      </c>
      <c r="K23" s="356" t="s">
        <v>460</v>
      </c>
      <c r="L23" s="357">
        <v>117061.5923321255</v>
      </c>
      <c r="M23" s="358">
        <f t="shared" si="0"/>
        <v>0</v>
      </c>
    </row>
    <row r="24" spans="3:13">
      <c r="C24" s="355" t="s">
        <v>461</v>
      </c>
      <c r="D24" s="356" t="s">
        <v>462</v>
      </c>
      <c r="E24" s="357">
        <v>139893.7367674055</v>
      </c>
      <c r="F24" s="358"/>
      <c r="G24" s="308"/>
      <c r="H24" s="308"/>
      <c r="I24" s="355"/>
      <c r="J24" s="355" t="s">
        <v>461</v>
      </c>
      <c r="K24" s="356" t="s">
        <v>463</v>
      </c>
      <c r="L24" s="357">
        <v>138276.7198474055</v>
      </c>
      <c r="M24" s="358">
        <f t="shared" si="0"/>
        <v>0</v>
      </c>
    </row>
    <row r="25" spans="3:13">
      <c r="C25" s="355" t="s">
        <v>464</v>
      </c>
      <c r="D25" s="356" t="s">
        <v>30</v>
      </c>
      <c r="E25" s="357">
        <v>17793.671933085501</v>
      </c>
      <c r="F25" s="358"/>
      <c r="G25" s="308"/>
      <c r="H25" s="308"/>
      <c r="I25" s="355"/>
      <c r="J25" s="355" t="s">
        <v>464</v>
      </c>
      <c r="K25" s="356" t="s">
        <v>30</v>
      </c>
      <c r="L25" s="357">
        <v>116881.5923321255</v>
      </c>
      <c r="M25" s="358">
        <f t="shared" si="0"/>
        <v>0</v>
      </c>
    </row>
    <row r="26" spans="3:13">
      <c r="C26" s="355" t="s">
        <v>465</v>
      </c>
      <c r="D26" s="356" t="s">
        <v>466</v>
      </c>
      <c r="E26" s="357">
        <v>170117.3602291655</v>
      </c>
      <c r="F26" s="358"/>
      <c r="G26" s="308"/>
      <c r="H26" s="308"/>
      <c r="I26" s="355"/>
      <c r="J26" s="355" t="s">
        <v>465</v>
      </c>
      <c r="K26" s="356" t="s">
        <v>466</v>
      </c>
      <c r="L26" s="357">
        <v>167980.20474916551</v>
      </c>
      <c r="M26" s="358">
        <f t="shared" si="0"/>
        <v>0</v>
      </c>
    </row>
    <row r="27" spans="3:13">
      <c r="C27" s="355" t="s">
        <v>467</v>
      </c>
      <c r="D27" s="356" t="s">
        <v>430</v>
      </c>
      <c r="E27" s="357">
        <v>123170.1566885255</v>
      </c>
      <c r="F27" s="358"/>
      <c r="G27" s="308"/>
      <c r="H27" s="308"/>
      <c r="I27" s="355"/>
      <c r="J27" s="355" t="s">
        <v>467</v>
      </c>
      <c r="K27" s="356" t="s">
        <v>430</v>
      </c>
      <c r="L27" s="357">
        <v>121840.9470485255</v>
      </c>
      <c r="M27" s="358">
        <f t="shared" si="0"/>
        <v>0</v>
      </c>
    </row>
    <row r="28" spans="3:13">
      <c r="C28" s="355" t="s">
        <v>468</v>
      </c>
      <c r="D28" s="356" t="s">
        <v>458</v>
      </c>
      <c r="E28" s="357">
        <v>142929.9555101255</v>
      </c>
      <c r="F28" s="358"/>
      <c r="G28" s="308"/>
      <c r="H28" s="308"/>
      <c r="I28" s="355"/>
      <c r="J28" s="355" t="s">
        <v>468</v>
      </c>
      <c r="K28" s="356" t="s">
        <v>458</v>
      </c>
      <c r="L28" s="357">
        <v>141260.6862701255</v>
      </c>
      <c r="M28" s="358">
        <f t="shared" si="0"/>
        <v>0</v>
      </c>
    </row>
    <row r="29" spans="3:13">
      <c r="C29" s="355" t="s">
        <v>469</v>
      </c>
      <c r="D29" s="356" t="s">
        <v>470</v>
      </c>
      <c r="E29" s="357">
        <v>104381.5631525255</v>
      </c>
      <c r="F29" s="358"/>
      <c r="G29" s="308"/>
      <c r="H29" s="308"/>
      <c r="I29" s="355"/>
      <c r="J29" s="355" t="s">
        <v>469</v>
      </c>
      <c r="K29" s="356" t="s">
        <v>470</v>
      </c>
      <c r="L29" s="357">
        <v>103375.41151252549</v>
      </c>
      <c r="M29" s="358">
        <f t="shared" si="0"/>
        <v>0</v>
      </c>
    </row>
    <row r="30" spans="3:13">
      <c r="C30" s="355" t="s">
        <v>471</v>
      </c>
      <c r="D30" s="356" t="s">
        <v>458</v>
      </c>
      <c r="E30" s="357">
        <v>125788.2779105255</v>
      </c>
      <c r="F30" s="358"/>
      <c r="G30" s="308"/>
      <c r="H30" s="308"/>
      <c r="I30" s="355"/>
      <c r="J30" s="355" t="s">
        <v>471</v>
      </c>
      <c r="K30" s="356" t="s">
        <v>458</v>
      </c>
      <c r="L30" s="357">
        <v>124414.01127052549</v>
      </c>
      <c r="M30" s="358">
        <f t="shared" si="0"/>
        <v>0</v>
      </c>
    </row>
    <row r="31" spans="3:13">
      <c r="C31" s="355" t="s">
        <v>472</v>
      </c>
      <c r="D31" s="356" t="s">
        <v>436</v>
      </c>
      <c r="E31" s="357">
        <v>125788.2779105255</v>
      </c>
      <c r="F31" s="358"/>
      <c r="G31" s="308"/>
      <c r="H31" s="308"/>
      <c r="I31" s="355"/>
      <c r="J31" s="355" t="s">
        <v>472</v>
      </c>
      <c r="K31" s="356" t="s">
        <v>436</v>
      </c>
      <c r="L31" s="357">
        <v>124414.01127052549</v>
      </c>
      <c r="M31" s="358">
        <f t="shared" si="0"/>
        <v>0</v>
      </c>
    </row>
    <row r="32" spans="3:13">
      <c r="C32" s="355" t="s">
        <v>473</v>
      </c>
      <c r="D32" s="356" t="s">
        <v>460</v>
      </c>
      <c r="E32" s="357">
        <v>94324.753581405501</v>
      </c>
      <c r="F32" s="358"/>
      <c r="G32" s="308"/>
      <c r="H32" s="308"/>
      <c r="I32" s="355"/>
      <c r="J32" s="355" t="s">
        <v>473</v>
      </c>
      <c r="K32" s="356" t="s">
        <v>460</v>
      </c>
      <c r="L32" s="357">
        <v>93490.403661405493</v>
      </c>
      <c r="M32" s="358">
        <f t="shared" si="0"/>
        <v>0</v>
      </c>
    </row>
    <row r="33" spans="1:13">
      <c r="A33" s="308"/>
      <c r="B33" s="308"/>
      <c r="C33" s="355" t="s">
        <v>474</v>
      </c>
      <c r="D33" s="356" t="s">
        <v>436</v>
      </c>
      <c r="E33" s="357">
        <v>123170.1566885255</v>
      </c>
      <c r="F33" s="358"/>
      <c r="G33" s="308"/>
      <c r="H33" s="308"/>
      <c r="I33" s="355"/>
      <c r="J33" s="355" t="s">
        <v>474</v>
      </c>
      <c r="K33" s="356" t="s">
        <v>436</v>
      </c>
      <c r="L33" s="357">
        <v>121840.9470485255</v>
      </c>
      <c r="M33" s="358">
        <f t="shared" si="0"/>
        <v>0</v>
      </c>
    </row>
    <row r="34" spans="1:13">
      <c r="A34" s="308"/>
      <c r="B34" s="308"/>
      <c r="C34" s="355" t="s">
        <v>475</v>
      </c>
      <c r="D34" s="356" t="s">
        <v>476</v>
      </c>
      <c r="E34" s="357">
        <v>149231.81712730185</v>
      </c>
      <c r="F34" s="358"/>
      <c r="G34" s="308"/>
      <c r="H34" s="308"/>
      <c r="I34" s="355"/>
      <c r="J34" s="355" t="s">
        <v>475</v>
      </c>
      <c r="K34" s="356" t="s">
        <v>476</v>
      </c>
      <c r="L34" s="357">
        <v>132525.50757196551</v>
      </c>
      <c r="M34" s="358">
        <f t="shared" si="0"/>
        <v>0</v>
      </c>
    </row>
    <row r="35" spans="1:13">
      <c r="A35" s="308"/>
      <c r="B35" s="308"/>
      <c r="C35" s="355" t="s">
        <v>477</v>
      </c>
      <c r="D35" s="356" t="s">
        <v>478</v>
      </c>
      <c r="E35" s="357">
        <v>70635.746134365501</v>
      </c>
      <c r="F35" s="358"/>
      <c r="G35" s="308"/>
      <c r="H35" s="308"/>
      <c r="I35" s="355"/>
      <c r="J35" s="355" t="s">
        <v>477</v>
      </c>
      <c r="K35" s="356" t="s">
        <v>478</v>
      </c>
      <c r="L35" s="357">
        <v>70206.078454365503</v>
      </c>
      <c r="M35" s="358">
        <f t="shared" si="0"/>
        <v>0</v>
      </c>
    </row>
    <row r="36" spans="1:13">
      <c r="A36" s="308"/>
      <c r="B36" s="308"/>
      <c r="C36" s="360" t="s">
        <v>479</v>
      </c>
      <c r="D36" s="359" t="s">
        <v>436</v>
      </c>
      <c r="E36" s="361">
        <v>123170.1566885255</v>
      </c>
      <c r="F36" s="362"/>
      <c r="G36" s="91"/>
      <c r="H36" s="91"/>
      <c r="I36" s="360"/>
      <c r="J36" s="360" t="s">
        <v>480</v>
      </c>
      <c r="K36" s="359" t="s">
        <v>436</v>
      </c>
      <c r="L36" s="361">
        <v>116881.5923321255</v>
      </c>
      <c r="M36" s="358" t="str">
        <f t="shared" si="0"/>
        <v>DMC175</v>
      </c>
    </row>
    <row r="37" spans="1:13">
      <c r="A37" s="308"/>
      <c r="B37" s="308"/>
      <c r="C37" s="355" t="s">
        <v>481</v>
      </c>
      <c r="D37" s="356" t="s">
        <v>482</v>
      </c>
      <c r="E37" s="357">
        <v>141222.76406092552</v>
      </c>
      <c r="F37" s="358"/>
      <c r="G37" s="308"/>
      <c r="H37" s="308"/>
      <c r="I37" s="355"/>
      <c r="J37" s="355" t="s">
        <v>481</v>
      </c>
      <c r="K37" s="356" t="s">
        <v>482</v>
      </c>
      <c r="L37" s="357">
        <v>139582.87502092548</v>
      </c>
      <c r="M37" s="358">
        <f t="shared" si="0"/>
        <v>0</v>
      </c>
    </row>
    <row r="38" spans="1:13">
      <c r="A38" s="308"/>
      <c r="B38" s="308"/>
      <c r="C38" s="355" t="s">
        <v>483</v>
      </c>
      <c r="D38" s="356" t="s">
        <v>484</v>
      </c>
      <c r="E38" s="357">
        <v>207875.66092790553</v>
      </c>
      <c r="F38" s="358"/>
      <c r="G38" s="308"/>
      <c r="H38" s="308"/>
      <c r="I38" s="355"/>
      <c r="J38" s="355" t="s">
        <v>483</v>
      </c>
      <c r="K38" s="356" t="s">
        <v>484</v>
      </c>
      <c r="L38" s="357">
        <v>205078.80725790552</v>
      </c>
      <c r="M38" s="358">
        <f t="shared" si="0"/>
        <v>0</v>
      </c>
    </row>
    <row r="39" spans="1:13">
      <c r="A39" s="308"/>
      <c r="B39" s="308"/>
      <c r="C39" s="355" t="s">
        <v>485</v>
      </c>
      <c r="D39" s="356" t="s">
        <v>486</v>
      </c>
      <c r="E39" s="357">
        <v>198429.09785114549</v>
      </c>
      <c r="F39" s="358"/>
      <c r="G39" s="308"/>
      <c r="H39" s="308"/>
      <c r="I39" s="355"/>
      <c r="J39" s="355" t="s">
        <v>485</v>
      </c>
      <c r="K39" s="356" t="s">
        <v>486</v>
      </c>
      <c r="L39" s="357">
        <v>195802.7252411455</v>
      </c>
      <c r="M39" s="358">
        <f t="shared" si="0"/>
        <v>0</v>
      </c>
    </row>
    <row r="40" spans="1:13">
      <c r="A40" s="308"/>
      <c r="B40" s="308"/>
      <c r="C40" s="355" t="s">
        <v>487</v>
      </c>
      <c r="D40" s="356" t="s">
        <v>488</v>
      </c>
      <c r="E40" s="357">
        <v>282063.2375225455</v>
      </c>
      <c r="F40" s="358"/>
      <c r="G40" s="308"/>
      <c r="H40" s="308"/>
      <c r="I40" s="355"/>
      <c r="J40" s="355" t="s">
        <v>487</v>
      </c>
      <c r="K40" s="356" t="s">
        <v>488</v>
      </c>
      <c r="L40" s="357">
        <v>277927.52901254548</v>
      </c>
      <c r="M40" s="358">
        <f t="shared" si="0"/>
        <v>0</v>
      </c>
    </row>
    <row r="41" spans="1:13">
      <c r="A41" s="308"/>
      <c r="B41" s="308"/>
      <c r="C41" s="355" t="s">
        <v>489</v>
      </c>
      <c r="D41" s="356" t="s">
        <v>490</v>
      </c>
      <c r="E41" s="357">
        <v>175843.04032192548</v>
      </c>
      <c r="F41" s="358"/>
      <c r="G41" s="308"/>
      <c r="H41" s="308"/>
      <c r="I41" s="355"/>
      <c r="J41" s="355" t="s">
        <v>489</v>
      </c>
      <c r="K41" s="356" t="s">
        <v>490</v>
      </c>
      <c r="L41" s="357">
        <v>173607.34778192549</v>
      </c>
      <c r="M41" s="358">
        <f t="shared" si="0"/>
        <v>0</v>
      </c>
    </row>
    <row r="42" spans="1:13">
      <c r="A42" s="308"/>
      <c r="B42" s="308"/>
      <c r="C42" s="355" t="s">
        <v>491</v>
      </c>
      <c r="D42" s="356" t="s">
        <v>492</v>
      </c>
      <c r="E42" s="357">
        <v>198609.09785114552</v>
      </c>
      <c r="F42" s="358"/>
      <c r="G42" s="308"/>
      <c r="H42" s="308" t="s">
        <v>493</v>
      </c>
      <c r="I42" s="355"/>
      <c r="J42" s="355" t="s">
        <v>491</v>
      </c>
      <c r="K42" s="356" t="s">
        <v>492</v>
      </c>
      <c r="L42" s="357">
        <v>195982.7252411455</v>
      </c>
      <c r="M42" s="358">
        <f t="shared" si="0"/>
        <v>0</v>
      </c>
    </row>
    <row r="43" spans="1:13" ht="13.5" thickBot="1">
      <c r="A43" s="308" t="s">
        <v>59</v>
      </c>
      <c r="B43" s="308" t="s">
        <v>64</v>
      </c>
      <c r="C43" s="363" t="s">
        <v>494</v>
      </c>
      <c r="D43" s="364" t="s">
        <v>495</v>
      </c>
      <c r="E43" s="365">
        <v>0</v>
      </c>
      <c r="F43" s="366"/>
      <c r="G43" s="308">
        <v>16</v>
      </c>
      <c r="H43" s="308" t="s">
        <v>64</v>
      </c>
      <c r="I43" s="355"/>
      <c r="J43" s="363" t="s">
        <v>494</v>
      </c>
      <c r="K43" s="364" t="s">
        <v>495</v>
      </c>
      <c r="L43" s="365"/>
      <c r="M43" s="366">
        <f t="shared" si="0"/>
        <v>0</v>
      </c>
    </row>
    <row r="44" spans="1:13" ht="13.5" thickTop="1">
      <c r="A44" s="308" t="s">
        <v>63</v>
      </c>
      <c r="B44" s="308"/>
      <c r="C44" s="308"/>
      <c r="D44" s="308"/>
      <c r="F44" s="308"/>
      <c r="G44" s="308"/>
      <c r="H44" s="308" t="s">
        <v>493</v>
      </c>
      <c r="J44" s="308"/>
      <c r="K44" s="308"/>
      <c r="M44" s="308"/>
    </row>
    <row r="45" spans="1:13">
      <c r="A45" s="308"/>
      <c r="B45" s="308"/>
      <c r="C45" s="308"/>
      <c r="D45" s="308"/>
      <c r="F45" s="308"/>
      <c r="G45" s="308" t="s">
        <v>63</v>
      </c>
      <c r="H45" s="308"/>
      <c r="J45" s="308"/>
      <c r="K45" s="308"/>
      <c r="L45" s="90">
        <v>0</v>
      </c>
      <c r="M45" s="308"/>
    </row>
  </sheetData>
  <mergeCells count="2">
    <mergeCell ref="J3:M3"/>
    <mergeCell ref="C3:F3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5FB76-96AB-49E2-A15B-F53E47CCE42E}">
  <sheetPr filterMode="1">
    <tabColor rgb="FF00B050"/>
  </sheetPr>
  <dimension ref="A1:AR192"/>
  <sheetViews>
    <sheetView topLeftCell="N40" zoomScaleNormal="100" workbookViewId="0">
      <selection activeCell="Y75" sqref="Y75"/>
    </sheetView>
  </sheetViews>
  <sheetFormatPr defaultColWidth="8.85546875" defaultRowHeight="12.75" customHeight="1"/>
  <cols>
    <col min="1" max="1" width="8.85546875" style="184"/>
    <col min="2" max="2" width="18.7109375" style="183" customWidth="1"/>
    <col min="3" max="3" width="33" style="183" customWidth="1"/>
    <col min="4" max="4" width="11.85546875" style="183" customWidth="1"/>
    <col min="5" max="5" width="25.28515625" style="183" customWidth="1"/>
    <col min="6" max="6" width="11.5703125" style="183" customWidth="1"/>
    <col min="7" max="7" width="9.42578125" style="183" customWidth="1"/>
    <col min="8" max="8" width="12.7109375" style="184" customWidth="1"/>
    <col min="9" max="9" width="13" style="183" customWidth="1"/>
    <col min="10" max="10" width="13.5703125" style="287" customWidth="1"/>
    <col min="11" max="11" width="8.85546875" style="183" customWidth="1"/>
    <col min="12" max="12" width="17.5703125" style="183" customWidth="1"/>
    <col min="13" max="13" width="9.85546875" style="183" customWidth="1"/>
    <col min="14" max="14" width="13.7109375" style="183" customWidth="1"/>
    <col min="15" max="15" width="10.140625" style="183" customWidth="1"/>
    <col min="16" max="16" width="8.85546875" style="184" customWidth="1"/>
    <col min="17" max="17" width="11.140625" style="183" customWidth="1"/>
    <col min="18" max="18" width="17.5703125" style="183" customWidth="1"/>
    <col min="19" max="19" width="9.28515625" style="183" customWidth="1"/>
    <col min="20" max="20" width="4.42578125" style="183" customWidth="1"/>
    <col min="21" max="21" width="13.85546875" style="183" customWidth="1"/>
    <col min="22" max="22" width="16.85546875" style="183" customWidth="1"/>
    <col min="23" max="23" width="13.140625" style="183" customWidth="1"/>
    <col min="24" max="24" width="16.140625" style="183" customWidth="1"/>
    <col min="25" max="25" width="18.140625" style="183" bestFit="1" customWidth="1"/>
    <col min="26" max="26" width="9.28515625" style="183" customWidth="1"/>
    <col min="27" max="27" width="13.7109375" style="183" customWidth="1"/>
    <col min="28" max="28" width="14.5703125" style="183" customWidth="1"/>
    <col min="29" max="29" width="10.7109375" style="183" customWidth="1"/>
    <col min="30" max="30" width="8.85546875" style="183"/>
    <col min="31" max="33" width="9.85546875" style="183" bestFit="1" customWidth="1"/>
    <col min="34" max="34" width="10.28515625" style="183" bestFit="1" customWidth="1"/>
    <col min="35" max="35" width="11" style="183" bestFit="1" customWidth="1"/>
    <col min="36" max="37" width="9.28515625" style="183" bestFit="1" customWidth="1"/>
    <col min="38" max="38" width="10.85546875" style="183" bestFit="1" customWidth="1"/>
    <col min="39" max="39" width="10.7109375" style="183" bestFit="1" customWidth="1"/>
    <col min="40" max="40" width="10.85546875" style="183" bestFit="1" customWidth="1"/>
    <col min="41" max="42" width="16.42578125" style="217" customWidth="1"/>
    <col min="43" max="43" width="11.28515625" style="184" bestFit="1" customWidth="1"/>
    <col min="44" max="44" width="10.140625" style="184" bestFit="1" customWidth="1"/>
    <col min="45" max="16384" width="8.85546875" style="184"/>
  </cols>
  <sheetData>
    <row r="1" spans="2:44" ht="12.75" customHeight="1">
      <c r="B1" s="182" t="s">
        <v>496</v>
      </c>
    </row>
    <row r="2" spans="2:44" ht="12.75" customHeight="1">
      <c r="B2" s="186" t="s">
        <v>497</v>
      </c>
    </row>
    <row r="3" spans="2:44" ht="12.75" customHeight="1" thickBot="1">
      <c r="B3" s="187" t="s">
        <v>498</v>
      </c>
      <c r="AB3" s="188">
        <f>1381*12</f>
        <v>16572</v>
      </c>
    </row>
    <row r="4" spans="2:44" ht="13.5" thickBot="1">
      <c r="B4" s="189"/>
      <c r="C4" s="189"/>
      <c r="D4" s="189"/>
      <c r="E4" s="189"/>
      <c r="F4" s="189"/>
      <c r="G4" s="189"/>
      <c r="H4" s="189"/>
      <c r="I4" s="189"/>
      <c r="J4" s="288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90"/>
      <c r="Y4" s="191"/>
      <c r="Z4" s="192">
        <v>223.2</v>
      </c>
      <c r="AA4" s="192">
        <v>85.8</v>
      </c>
      <c r="AB4" s="192">
        <f>1349*12</f>
        <v>16188</v>
      </c>
      <c r="AC4" s="193">
        <f>+[4]Premisis!$B$51*12</f>
        <v>1296.6719330855017</v>
      </c>
      <c r="AD4" s="192"/>
      <c r="AE4" s="194">
        <v>1.9599999999999999E-2</v>
      </c>
      <c r="AF4" s="194">
        <v>3.6999999999999998E-2</v>
      </c>
      <c r="AG4" s="194">
        <v>1.4500000000000001E-2</v>
      </c>
      <c r="AH4" s="195">
        <v>9.8580000000000004E-3</v>
      </c>
      <c r="AI4" s="195">
        <v>0.06</v>
      </c>
      <c r="AJ4" s="194">
        <v>9.9000000000000008E-3</v>
      </c>
      <c r="AK4" s="194">
        <v>5.0000000000000001E-4</v>
      </c>
      <c r="AL4" s="194">
        <v>0.15920000000000001</v>
      </c>
      <c r="AM4" s="194">
        <v>6.2E-2</v>
      </c>
      <c r="AN4" s="196">
        <v>0.23</v>
      </c>
    </row>
    <row r="5" spans="2:44" ht="39" thickBot="1">
      <c r="B5" s="2" t="s">
        <v>425</v>
      </c>
      <c r="C5" s="2" t="s">
        <v>426</v>
      </c>
      <c r="D5" s="2" t="s">
        <v>499</v>
      </c>
      <c r="E5" s="2" t="s">
        <v>500</v>
      </c>
      <c r="F5" s="2" t="s">
        <v>501</v>
      </c>
      <c r="G5" s="2" t="s">
        <v>502</v>
      </c>
      <c r="H5" s="181" t="s">
        <v>503</v>
      </c>
      <c r="I5" s="2" t="s">
        <v>504</v>
      </c>
      <c r="J5" s="289" t="s">
        <v>505</v>
      </c>
      <c r="K5" s="3" t="s">
        <v>506</v>
      </c>
      <c r="L5" s="3" t="s">
        <v>507</v>
      </c>
      <c r="M5" s="2" t="s">
        <v>508</v>
      </c>
      <c r="N5" s="2" t="s">
        <v>52</v>
      </c>
      <c r="O5" s="2" t="s">
        <v>509</v>
      </c>
      <c r="P5" s="313" t="s">
        <v>51</v>
      </c>
      <c r="Q5" s="2" t="s">
        <v>510</v>
      </c>
      <c r="R5" s="2" t="s">
        <v>511</v>
      </c>
      <c r="S5" s="2" t="s">
        <v>512</v>
      </c>
      <c r="T5" s="2" t="s">
        <v>513</v>
      </c>
      <c r="U5" s="2" t="s">
        <v>514</v>
      </c>
      <c r="V5" s="2" t="s">
        <v>515</v>
      </c>
      <c r="W5" s="3" t="s">
        <v>516</v>
      </c>
      <c r="X5" s="3" t="s">
        <v>517</v>
      </c>
      <c r="Y5" s="3" t="s">
        <v>518</v>
      </c>
      <c r="Z5" s="3" t="s">
        <v>519</v>
      </c>
      <c r="AA5" s="3" t="s">
        <v>520</v>
      </c>
      <c r="AB5" s="3" t="s">
        <v>521</v>
      </c>
      <c r="AC5" s="3" t="s">
        <v>522</v>
      </c>
      <c r="AD5" s="3" t="s">
        <v>523</v>
      </c>
      <c r="AE5" s="3" t="s">
        <v>524</v>
      </c>
      <c r="AF5" s="3" t="s">
        <v>525</v>
      </c>
      <c r="AG5" s="3" t="s">
        <v>526</v>
      </c>
      <c r="AH5" s="3" t="s">
        <v>527</v>
      </c>
      <c r="AI5" s="3" t="s">
        <v>528</v>
      </c>
      <c r="AJ5" s="3" t="s">
        <v>529</v>
      </c>
      <c r="AK5" s="3" t="s">
        <v>530</v>
      </c>
      <c r="AL5" s="3" t="s">
        <v>531</v>
      </c>
      <c r="AM5" s="3" t="s">
        <v>532</v>
      </c>
      <c r="AN5" s="3" t="s">
        <v>533</v>
      </c>
      <c r="AO5" s="306" t="s">
        <v>534</v>
      </c>
      <c r="AP5" s="306" t="s">
        <v>535</v>
      </c>
    </row>
    <row r="6" spans="2:44" s="208" customFormat="1" ht="13.5" hidden="1" thickBot="1">
      <c r="B6" s="199" t="s">
        <v>536</v>
      </c>
      <c r="C6" s="199" t="s">
        <v>537</v>
      </c>
      <c r="D6" s="199" t="s">
        <v>538</v>
      </c>
      <c r="E6" s="199" t="s">
        <v>539</v>
      </c>
      <c r="F6" s="199" t="s">
        <v>540</v>
      </c>
      <c r="G6" s="200">
        <v>4</v>
      </c>
      <c r="H6" s="197" t="str">
        <f t="shared" ref="H6:H37" si="0">LEFT(I6,1)</f>
        <v>C</v>
      </c>
      <c r="I6" s="199" t="s">
        <v>541</v>
      </c>
      <c r="J6" s="199" t="s">
        <v>542</v>
      </c>
      <c r="K6" s="200">
        <v>1</v>
      </c>
      <c r="L6" s="200">
        <v>100</v>
      </c>
      <c r="M6" s="200">
        <v>1</v>
      </c>
      <c r="N6" s="199" t="s">
        <v>543</v>
      </c>
      <c r="O6" s="199" t="s">
        <v>292</v>
      </c>
      <c r="P6" s="212" t="s">
        <v>55</v>
      </c>
      <c r="Q6" s="199" t="s">
        <v>544</v>
      </c>
      <c r="R6" s="199" t="s">
        <v>233</v>
      </c>
      <c r="S6" s="201"/>
      <c r="T6" s="201"/>
      <c r="U6" s="200">
        <v>0.25</v>
      </c>
      <c r="V6" s="298">
        <v>47820</v>
      </c>
      <c r="W6" s="298">
        <f t="shared" ref="W6:W37" si="1">+V6*U6</f>
        <v>11955</v>
      </c>
      <c r="X6" s="202">
        <f t="shared" ref="X6:X37" si="2">SUM(Z6:AN6)</f>
        <v>8589.1278732713763</v>
      </c>
      <c r="Y6" s="200">
        <f t="shared" ref="Y6:Y37" si="3">+W6+X6</f>
        <v>20544.127873271376</v>
      </c>
      <c r="Z6" s="203">
        <f>+$Z$4*U6</f>
        <v>55.8</v>
      </c>
      <c r="AA6" s="203">
        <f>+$AA$4*U6</f>
        <v>21.45</v>
      </c>
      <c r="AB6" s="203">
        <f>+$AB$4*U6</f>
        <v>4047</v>
      </c>
      <c r="AC6" s="203">
        <f>+$AC$4*U6</f>
        <v>324.16798327137542</v>
      </c>
      <c r="AD6" s="203"/>
      <c r="AE6" s="203">
        <f t="shared" ref="AE6:AE11" si="4">+W6*$AE$4</f>
        <v>234.31799999999998</v>
      </c>
      <c r="AF6" s="203"/>
      <c r="AG6" s="203">
        <f t="shared" ref="AG6:AG37" si="5">+W6*$AG$4</f>
        <v>173.3475</v>
      </c>
      <c r="AH6" s="203">
        <f t="shared" ref="AH6:AH37" si="6">+W6*$AH$4</f>
        <v>117.85239</v>
      </c>
      <c r="AI6" s="203"/>
      <c r="AJ6" s="204">
        <f t="shared" ref="AJ6:AJ11" si="7">SUM(IF(V6&gt;65999,((66000*$AJ$4)*U6),(IF(V6&lt;66000,($AJ$4*(W6))))))</f>
        <v>118.35450000000002</v>
      </c>
      <c r="AK6" s="203">
        <f t="shared" ref="AK6:AK37" si="8">+W6*$AK$4</f>
        <v>5.9775</v>
      </c>
      <c r="AL6" s="203"/>
      <c r="AM6" s="204">
        <f t="shared" ref="AM6:AM11" si="9">SUM(IF(V6&gt;132900,((132900*$AM$4)*U6),(IF(V6&lt;132900,($AM$4*(W6))))))</f>
        <v>741.21</v>
      </c>
      <c r="AN6" s="203">
        <f t="shared" ref="AN6:AN11" si="10">+W6*$AN$4</f>
        <v>2749.65</v>
      </c>
      <c r="AO6" s="272">
        <f t="shared" ref="AO6:AO37" si="11">IF(H6="C",IF(G6&lt;15,W6-(W6/1.025),0),0)</f>
        <v>291.585365853658</v>
      </c>
      <c r="AP6" s="272">
        <f t="shared" ref="AP6:AP37" si="12">IF(H6="M",IF(G6&lt;15,W6-(W6/1.025),0),0)</f>
        <v>0</v>
      </c>
      <c r="AQ6" s="294"/>
      <c r="AR6" s="294"/>
    </row>
    <row r="7" spans="2:44" s="208" customFormat="1" ht="13.5" hidden="1" thickBot="1">
      <c r="B7" s="231" t="s">
        <v>545</v>
      </c>
      <c r="C7" s="218" t="s">
        <v>546</v>
      </c>
      <c r="D7" s="219"/>
      <c r="E7" s="219"/>
      <c r="F7" s="219"/>
      <c r="G7" s="219"/>
      <c r="H7" s="220" t="str">
        <f t="shared" si="0"/>
        <v>C</v>
      </c>
      <c r="I7" s="218" t="s">
        <v>541</v>
      </c>
      <c r="J7" s="218" t="s">
        <v>542</v>
      </c>
      <c r="K7" s="220">
        <v>0</v>
      </c>
      <c r="L7" s="219"/>
      <c r="M7" s="219"/>
      <c r="N7" s="218" t="s">
        <v>547</v>
      </c>
      <c r="O7" s="218" t="s">
        <v>548</v>
      </c>
      <c r="P7" s="212" t="s">
        <v>54</v>
      </c>
      <c r="Q7" s="218" t="s">
        <v>544</v>
      </c>
      <c r="R7" s="218" t="s">
        <v>211</v>
      </c>
      <c r="S7" s="219"/>
      <c r="T7" s="219"/>
      <c r="U7" s="220">
        <v>1</v>
      </c>
      <c r="V7" s="299">
        <v>0</v>
      </c>
      <c r="W7" s="299">
        <f t="shared" si="1"/>
        <v>0</v>
      </c>
      <c r="X7" s="221">
        <f t="shared" si="2"/>
        <v>0</v>
      </c>
      <c r="Y7" s="220">
        <f t="shared" si="3"/>
        <v>0</v>
      </c>
      <c r="Z7" s="222">
        <v>0</v>
      </c>
      <c r="AA7" s="222">
        <v>0</v>
      </c>
      <c r="AB7" s="222">
        <v>0</v>
      </c>
      <c r="AC7" s="222">
        <v>0</v>
      </c>
      <c r="AD7" s="222"/>
      <c r="AE7" s="222">
        <f t="shared" si="4"/>
        <v>0</v>
      </c>
      <c r="AF7" s="222"/>
      <c r="AG7" s="222">
        <f t="shared" si="5"/>
        <v>0</v>
      </c>
      <c r="AH7" s="222">
        <f t="shared" si="6"/>
        <v>0</v>
      </c>
      <c r="AI7" s="222"/>
      <c r="AJ7" s="223">
        <f t="shared" si="7"/>
        <v>0</v>
      </c>
      <c r="AK7" s="222">
        <f t="shared" si="8"/>
        <v>0</v>
      </c>
      <c r="AL7" s="222"/>
      <c r="AM7" s="223">
        <f t="shared" si="9"/>
        <v>0</v>
      </c>
      <c r="AN7" s="222">
        <f t="shared" si="10"/>
        <v>0</v>
      </c>
      <c r="AO7" s="272">
        <f t="shared" si="11"/>
        <v>0</v>
      </c>
      <c r="AP7" s="272">
        <f t="shared" si="12"/>
        <v>0</v>
      </c>
    </row>
    <row r="8" spans="2:44" s="208" customFormat="1" ht="13.5" hidden="1" thickBot="1">
      <c r="B8" s="232" t="s">
        <v>549</v>
      </c>
      <c r="C8" s="232" t="s">
        <v>550</v>
      </c>
      <c r="D8" s="232" t="s">
        <v>551</v>
      </c>
      <c r="E8" s="232" t="s">
        <v>552</v>
      </c>
      <c r="F8" s="232" t="s">
        <v>553</v>
      </c>
      <c r="G8" s="243">
        <v>4</v>
      </c>
      <c r="H8" s="243" t="str">
        <f t="shared" si="0"/>
        <v>C</v>
      </c>
      <c r="I8" s="232" t="s">
        <v>541</v>
      </c>
      <c r="J8" s="232" t="s">
        <v>542</v>
      </c>
      <c r="K8" s="243">
        <v>1</v>
      </c>
      <c r="L8" s="243">
        <v>100</v>
      </c>
      <c r="M8" s="243">
        <v>1</v>
      </c>
      <c r="N8" s="232" t="s">
        <v>547</v>
      </c>
      <c r="O8" s="232" t="s">
        <v>548</v>
      </c>
      <c r="P8" s="212" t="s">
        <v>54</v>
      </c>
      <c r="Q8" s="232" t="s">
        <v>544</v>
      </c>
      <c r="R8" s="232" t="s">
        <v>211</v>
      </c>
      <c r="S8" s="244"/>
      <c r="T8" s="244"/>
      <c r="U8" s="243">
        <v>0.6</v>
      </c>
      <c r="V8" s="302">
        <v>51496.939899999954</v>
      </c>
      <c r="W8" s="302">
        <f t="shared" si="1"/>
        <v>30898.163939999969</v>
      </c>
      <c r="X8" s="245">
        <f t="shared" si="2"/>
        <v>21378.02942578181</v>
      </c>
      <c r="Y8" s="243">
        <f t="shared" si="3"/>
        <v>52276.193365781779</v>
      </c>
      <c r="Z8" s="246">
        <f>+$Z$4*U8</f>
        <v>133.91999999999999</v>
      </c>
      <c r="AA8" s="246">
        <f>+$AA$4*U8</f>
        <v>51.48</v>
      </c>
      <c r="AB8" s="246">
        <f>+$AB$4*U8</f>
        <v>9712.7999999999993</v>
      </c>
      <c r="AC8" s="246">
        <f>+$AC$4*U8</f>
        <v>778.00315985130101</v>
      </c>
      <c r="AD8" s="246"/>
      <c r="AE8" s="246">
        <f t="shared" si="4"/>
        <v>605.60401322399935</v>
      </c>
      <c r="AF8" s="246"/>
      <c r="AG8" s="246">
        <f t="shared" si="5"/>
        <v>448.02337712999957</v>
      </c>
      <c r="AH8" s="246">
        <f t="shared" si="6"/>
        <v>304.59410012051973</v>
      </c>
      <c r="AI8" s="246"/>
      <c r="AJ8" s="247">
        <f t="shared" si="7"/>
        <v>305.8918230059997</v>
      </c>
      <c r="AK8" s="246">
        <f t="shared" si="8"/>
        <v>15.449081969999986</v>
      </c>
      <c r="AL8" s="246"/>
      <c r="AM8" s="247">
        <f t="shared" si="9"/>
        <v>1915.6861642799981</v>
      </c>
      <c r="AN8" s="246">
        <f t="shared" si="10"/>
        <v>7106.5777061999934</v>
      </c>
      <c r="AO8" s="272">
        <f t="shared" si="11"/>
        <v>753.61375463414151</v>
      </c>
      <c r="AP8" s="272">
        <f t="shared" si="12"/>
        <v>0</v>
      </c>
    </row>
    <row r="9" spans="2:44" s="208" customFormat="1" ht="13.5" hidden="1" thickBot="1">
      <c r="B9" s="209" t="s">
        <v>554</v>
      </c>
      <c r="C9" s="209" t="s">
        <v>555</v>
      </c>
      <c r="D9" s="209" t="s">
        <v>556</v>
      </c>
      <c r="E9" s="209" t="s">
        <v>557</v>
      </c>
      <c r="F9" s="209" t="s">
        <v>558</v>
      </c>
      <c r="G9" s="210">
        <v>12</v>
      </c>
      <c r="H9" s="211" t="str">
        <f t="shared" si="0"/>
        <v>M</v>
      </c>
      <c r="I9" s="209" t="s">
        <v>559</v>
      </c>
      <c r="J9" s="209" t="s">
        <v>542</v>
      </c>
      <c r="K9" s="210">
        <v>1</v>
      </c>
      <c r="L9" s="210">
        <v>100</v>
      </c>
      <c r="M9" s="210">
        <v>1</v>
      </c>
      <c r="N9" s="209" t="s">
        <v>547</v>
      </c>
      <c r="O9" s="209" t="s">
        <v>548</v>
      </c>
      <c r="P9" s="212" t="s">
        <v>54</v>
      </c>
      <c r="Q9" s="209" t="s">
        <v>560</v>
      </c>
      <c r="R9" s="209" t="s">
        <v>211</v>
      </c>
      <c r="S9" s="213"/>
      <c r="T9" s="213"/>
      <c r="U9" s="210">
        <v>0.4</v>
      </c>
      <c r="V9" s="297">
        <v>144210.15</v>
      </c>
      <c r="W9" s="297">
        <f t="shared" si="1"/>
        <v>57684.06</v>
      </c>
      <c r="X9" s="214">
        <f t="shared" si="2"/>
        <v>26506.600512714202</v>
      </c>
      <c r="Y9" s="210">
        <f t="shared" si="3"/>
        <v>84190.660512714196</v>
      </c>
      <c r="Z9" s="215">
        <f>+$Z$4*U9</f>
        <v>89.28</v>
      </c>
      <c r="AA9" s="215">
        <f>+$AA$4*U9</f>
        <v>34.32</v>
      </c>
      <c r="AB9" s="215">
        <f>+$AB$4*U9</f>
        <v>6475.2000000000007</v>
      </c>
      <c r="AC9" s="215">
        <f>+$AC$4*U9</f>
        <v>518.66877323420067</v>
      </c>
      <c r="AD9" s="215"/>
      <c r="AE9" s="215">
        <f t="shared" si="4"/>
        <v>1130.6075759999999</v>
      </c>
      <c r="AF9" s="215"/>
      <c r="AG9" s="215">
        <f t="shared" si="5"/>
        <v>836.41886999999997</v>
      </c>
      <c r="AH9" s="215">
        <f t="shared" si="6"/>
        <v>568.64946348000001</v>
      </c>
      <c r="AI9" s="215"/>
      <c r="AJ9" s="216">
        <f t="shared" si="7"/>
        <v>261.36000000000007</v>
      </c>
      <c r="AK9" s="215">
        <f t="shared" si="8"/>
        <v>28.842030000000001</v>
      </c>
      <c r="AL9" s="215"/>
      <c r="AM9" s="216">
        <f t="shared" si="9"/>
        <v>3295.92</v>
      </c>
      <c r="AN9" s="215">
        <f t="shared" si="10"/>
        <v>13267.3338</v>
      </c>
      <c r="AO9" s="272">
        <f t="shared" si="11"/>
        <v>0</v>
      </c>
      <c r="AP9" s="272">
        <f t="shared" si="12"/>
        <v>1406.9282926829255</v>
      </c>
    </row>
    <row r="10" spans="2:44" ht="13.5" hidden="1" thickBot="1">
      <c r="B10" s="231" t="s">
        <v>561</v>
      </c>
      <c r="C10" s="231" t="s">
        <v>562</v>
      </c>
      <c r="D10" s="231" t="s">
        <v>563</v>
      </c>
      <c r="E10" s="231" t="s">
        <v>564</v>
      </c>
      <c r="F10" s="231" t="s">
        <v>565</v>
      </c>
      <c r="G10" s="280">
        <v>6</v>
      </c>
      <c r="H10" s="280" t="str">
        <f t="shared" si="0"/>
        <v>M</v>
      </c>
      <c r="I10" s="231" t="s">
        <v>559</v>
      </c>
      <c r="J10" s="231" t="s">
        <v>542</v>
      </c>
      <c r="K10" s="280">
        <v>1</v>
      </c>
      <c r="L10" s="280">
        <v>100</v>
      </c>
      <c r="M10" s="280">
        <v>1</v>
      </c>
      <c r="N10" s="231" t="s">
        <v>547</v>
      </c>
      <c r="O10" s="231" t="s">
        <v>548</v>
      </c>
      <c r="P10" s="212" t="s">
        <v>54</v>
      </c>
      <c r="Q10" s="231" t="s">
        <v>560</v>
      </c>
      <c r="R10" s="231" t="s">
        <v>211</v>
      </c>
      <c r="S10" s="281"/>
      <c r="T10" s="281"/>
      <c r="U10" s="280">
        <v>0.5</v>
      </c>
      <c r="V10" s="280">
        <v>96517.23</v>
      </c>
      <c r="W10" s="280">
        <f t="shared" si="1"/>
        <v>48258.614999999998</v>
      </c>
      <c r="X10" s="282">
        <f t="shared" si="2"/>
        <v>25460.533052212748</v>
      </c>
      <c r="Y10" s="280">
        <f t="shared" si="3"/>
        <v>73719.148052212753</v>
      </c>
      <c r="Z10" s="283">
        <f>+$Z$4*U10</f>
        <v>111.6</v>
      </c>
      <c r="AA10" s="283">
        <f>+$AA$4*U10</f>
        <v>42.9</v>
      </c>
      <c r="AB10" s="283">
        <f>+$AB$4*U10</f>
        <v>8094</v>
      </c>
      <c r="AC10" s="283">
        <f>+$AC$4*U10</f>
        <v>648.33596654275084</v>
      </c>
      <c r="AD10" s="283"/>
      <c r="AE10" s="283">
        <f t="shared" si="4"/>
        <v>945.86885399999994</v>
      </c>
      <c r="AF10" s="283"/>
      <c r="AG10" s="283">
        <f t="shared" si="5"/>
        <v>699.74991750000004</v>
      </c>
      <c r="AH10" s="283">
        <f t="shared" si="6"/>
        <v>475.73342667000003</v>
      </c>
      <c r="AI10" s="283"/>
      <c r="AJ10" s="284">
        <f t="shared" si="7"/>
        <v>326.70000000000005</v>
      </c>
      <c r="AK10" s="283">
        <f t="shared" si="8"/>
        <v>24.129307499999999</v>
      </c>
      <c r="AL10" s="283"/>
      <c r="AM10" s="284">
        <f t="shared" si="9"/>
        <v>2992.03413</v>
      </c>
      <c r="AN10" s="283">
        <f t="shared" si="10"/>
        <v>11099.481449999999</v>
      </c>
      <c r="AO10" s="217">
        <f t="shared" si="11"/>
        <v>0</v>
      </c>
      <c r="AP10" s="217">
        <f t="shared" si="12"/>
        <v>1177.0393902438955</v>
      </c>
    </row>
    <row r="11" spans="2:44" ht="13.5" hidden="1" thickBot="1">
      <c r="B11" s="232" t="s">
        <v>566</v>
      </c>
      <c r="C11" s="233" t="s">
        <v>550</v>
      </c>
      <c r="D11" s="233" t="s">
        <v>567</v>
      </c>
      <c r="E11" s="233" t="s">
        <v>568</v>
      </c>
      <c r="F11" s="233" t="s">
        <v>553</v>
      </c>
      <c r="G11" s="235">
        <v>2</v>
      </c>
      <c r="H11" s="235" t="str">
        <f t="shared" si="0"/>
        <v>C</v>
      </c>
      <c r="I11" s="233" t="s">
        <v>541</v>
      </c>
      <c r="J11" s="233" t="s">
        <v>542</v>
      </c>
      <c r="K11" s="235">
        <v>1</v>
      </c>
      <c r="L11" s="235">
        <v>100</v>
      </c>
      <c r="M11" s="235">
        <v>1</v>
      </c>
      <c r="N11" s="233" t="s">
        <v>569</v>
      </c>
      <c r="O11" s="233" t="s">
        <v>570</v>
      </c>
      <c r="P11" s="212" t="s">
        <v>54</v>
      </c>
      <c r="Q11" s="233" t="s">
        <v>544</v>
      </c>
      <c r="R11" s="233" t="s">
        <v>211</v>
      </c>
      <c r="S11" s="234"/>
      <c r="T11" s="234"/>
      <c r="U11" s="235">
        <v>0.5</v>
      </c>
      <c r="V11" s="301">
        <v>49015.519499999995</v>
      </c>
      <c r="W11" s="301">
        <f t="shared" si="1"/>
        <v>24507.759749999997</v>
      </c>
      <c r="X11" s="236">
        <f t="shared" si="2"/>
        <v>17385.294618033251</v>
      </c>
      <c r="Y11" s="235">
        <f t="shared" si="3"/>
        <v>41893.054368033248</v>
      </c>
      <c r="Z11" s="237">
        <f>+$Z$4*U11</f>
        <v>111.6</v>
      </c>
      <c r="AA11" s="237">
        <f>+$AA$4*U11</f>
        <v>42.9</v>
      </c>
      <c r="AB11" s="237">
        <f>+$AB$4*U11</f>
        <v>8094</v>
      </c>
      <c r="AC11" s="237">
        <f>+$AC$4*U11</f>
        <v>648.33596654275084</v>
      </c>
      <c r="AD11" s="237"/>
      <c r="AE11" s="237">
        <f t="shared" si="4"/>
        <v>480.35209109999994</v>
      </c>
      <c r="AF11" s="237"/>
      <c r="AG11" s="237">
        <f t="shared" si="5"/>
        <v>355.36251637499998</v>
      </c>
      <c r="AH11" s="237">
        <f t="shared" si="6"/>
        <v>241.59749561549998</v>
      </c>
      <c r="AI11" s="237"/>
      <c r="AJ11" s="238">
        <f t="shared" si="7"/>
        <v>242.626821525</v>
      </c>
      <c r="AK11" s="237">
        <f t="shared" si="8"/>
        <v>12.253879874999999</v>
      </c>
      <c r="AL11" s="237"/>
      <c r="AM11" s="238">
        <f t="shared" si="9"/>
        <v>1519.4811044999999</v>
      </c>
      <c r="AN11" s="237">
        <f t="shared" si="10"/>
        <v>5636.7847425</v>
      </c>
      <c r="AO11" s="217">
        <f t="shared" si="11"/>
        <v>597.75023780487754</v>
      </c>
      <c r="AP11" s="217">
        <f t="shared" si="12"/>
        <v>0</v>
      </c>
    </row>
    <row r="12" spans="2:44" ht="13.5" hidden="1" thickBot="1">
      <c r="B12" s="233" t="s">
        <v>571</v>
      </c>
      <c r="C12" s="233" t="s">
        <v>572</v>
      </c>
      <c r="D12" s="234" t="s">
        <v>573</v>
      </c>
      <c r="E12" s="234"/>
      <c r="F12" s="234"/>
      <c r="G12" s="234"/>
      <c r="H12" s="235" t="str">
        <f t="shared" si="0"/>
        <v>C</v>
      </c>
      <c r="I12" s="233" t="s">
        <v>574</v>
      </c>
      <c r="J12" s="233" t="s">
        <v>542</v>
      </c>
      <c r="K12" s="235">
        <v>0.47499999999999998</v>
      </c>
      <c r="L12" s="234"/>
      <c r="M12" s="234"/>
      <c r="N12" s="233" t="s">
        <v>569</v>
      </c>
      <c r="O12" s="233" t="s">
        <v>570</v>
      </c>
      <c r="P12" s="212" t="s">
        <v>54</v>
      </c>
      <c r="Q12" s="233" t="s">
        <v>544</v>
      </c>
      <c r="R12" s="233" t="s">
        <v>211</v>
      </c>
      <c r="S12" s="234"/>
      <c r="T12" s="234"/>
      <c r="U12" s="235">
        <v>0.5</v>
      </c>
      <c r="V12" s="301">
        <v>18188.187000000002</v>
      </c>
      <c r="W12" s="301">
        <f t="shared" si="1"/>
        <v>9094.0935000000009</v>
      </c>
      <c r="X12" s="236">
        <f t="shared" si="2"/>
        <v>899.02389522300007</v>
      </c>
      <c r="Y12" s="235">
        <f t="shared" si="3"/>
        <v>9993.1173952230001</v>
      </c>
      <c r="Z12" s="237"/>
      <c r="AA12" s="237"/>
      <c r="AB12" s="237"/>
      <c r="AC12" s="237"/>
      <c r="AD12" s="237"/>
      <c r="AE12" s="237"/>
      <c r="AF12" s="237">
        <f>+V12*$AF$4</f>
        <v>672.96291900000006</v>
      </c>
      <c r="AG12" s="237">
        <f t="shared" si="5"/>
        <v>131.86435575000002</v>
      </c>
      <c r="AH12" s="237">
        <f t="shared" si="6"/>
        <v>89.649573723000017</v>
      </c>
      <c r="AI12" s="237"/>
      <c r="AJ12" s="238"/>
      <c r="AK12" s="237">
        <f t="shared" si="8"/>
        <v>4.5470467500000007</v>
      </c>
      <c r="AL12" s="237"/>
      <c r="AM12" s="238"/>
      <c r="AN12" s="237"/>
      <c r="AO12" s="217">
        <f t="shared" si="11"/>
        <v>221.80715853658512</v>
      </c>
      <c r="AP12" s="217">
        <f t="shared" si="12"/>
        <v>0</v>
      </c>
    </row>
    <row r="13" spans="2:44" ht="13.5" hidden="1" thickBot="1">
      <c r="B13" s="232" t="s">
        <v>549</v>
      </c>
      <c r="C13" s="232" t="s">
        <v>550</v>
      </c>
      <c r="D13" s="232" t="s">
        <v>551</v>
      </c>
      <c r="E13" s="232" t="s">
        <v>552</v>
      </c>
      <c r="F13" s="232" t="s">
        <v>553</v>
      </c>
      <c r="G13" s="243">
        <v>4</v>
      </c>
      <c r="H13" s="243" t="str">
        <f t="shared" si="0"/>
        <v>C</v>
      </c>
      <c r="I13" s="232" t="s">
        <v>541</v>
      </c>
      <c r="J13" s="232" t="s">
        <v>542</v>
      </c>
      <c r="K13" s="243">
        <v>1</v>
      </c>
      <c r="L13" s="243">
        <v>100</v>
      </c>
      <c r="M13" s="243">
        <v>1</v>
      </c>
      <c r="N13" s="232" t="s">
        <v>569</v>
      </c>
      <c r="O13" s="232" t="s">
        <v>570</v>
      </c>
      <c r="P13" s="212" t="s">
        <v>54</v>
      </c>
      <c r="Q13" s="232" t="s">
        <v>544</v>
      </c>
      <c r="R13" s="232" t="s">
        <v>211</v>
      </c>
      <c r="S13" s="244"/>
      <c r="T13" s="244"/>
      <c r="U13" s="243">
        <v>0.3</v>
      </c>
      <c r="V13" s="302">
        <v>51496.939899999954</v>
      </c>
      <c r="W13" s="302">
        <f t="shared" si="1"/>
        <v>15449.081969999985</v>
      </c>
      <c r="X13" s="245">
        <f t="shared" si="2"/>
        <v>10689.014712890905</v>
      </c>
      <c r="Y13" s="243">
        <f t="shared" si="3"/>
        <v>26138.096682890889</v>
      </c>
      <c r="Z13" s="246">
        <f>+$Z$4*U13</f>
        <v>66.959999999999994</v>
      </c>
      <c r="AA13" s="246">
        <f>+$AA$4*U13</f>
        <v>25.74</v>
      </c>
      <c r="AB13" s="246">
        <f>+$AB$4*U13</f>
        <v>4856.3999999999996</v>
      </c>
      <c r="AC13" s="246">
        <f>+$AC$4*U13</f>
        <v>389.0015799256505</v>
      </c>
      <c r="AD13" s="246"/>
      <c r="AE13" s="246">
        <f t="shared" ref="AE13:AE18" si="13">+W13*$AE$4</f>
        <v>302.80200661199967</v>
      </c>
      <c r="AF13" s="246"/>
      <c r="AG13" s="246">
        <f t="shared" si="5"/>
        <v>224.01168856499979</v>
      </c>
      <c r="AH13" s="246">
        <f t="shared" si="6"/>
        <v>152.29705006025986</v>
      </c>
      <c r="AI13" s="246"/>
      <c r="AJ13" s="247">
        <f t="shared" ref="AJ13:AJ18" si="14">SUM(IF(V13&gt;65999,((66000*$AJ$4)*U13),(IF(V13&lt;66000,($AJ$4*(W13))))))</f>
        <v>152.94591150299985</v>
      </c>
      <c r="AK13" s="246">
        <f t="shared" si="8"/>
        <v>7.7245409849999929</v>
      </c>
      <c r="AL13" s="246"/>
      <c r="AM13" s="247">
        <f t="shared" ref="AM13:AM18" si="15">SUM(IF(V13&gt;132900,((132900*$AM$4)*U13),(IF(V13&lt;132900,($AM$4*(W13))))))</f>
        <v>957.84308213999907</v>
      </c>
      <c r="AN13" s="246">
        <f t="shared" ref="AN13:AN18" si="16">+W13*$AN$4</f>
        <v>3553.2888530999967</v>
      </c>
      <c r="AO13" s="217">
        <f t="shared" si="11"/>
        <v>376.80687731707076</v>
      </c>
      <c r="AP13" s="217">
        <f t="shared" si="12"/>
        <v>0</v>
      </c>
    </row>
    <row r="14" spans="2:44" ht="13.5" hidden="1" thickBot="1">
      <c r="B14" s="209" t="s">
        <v>554</v>
      </c>
      <c r="C14" s="209" t="s">
        <v>555</v>
      </c>
      <c r="D14" s="209" t="s">
        <v>556</v>
      </c>
      <c r="E14" s="209" t="s">
        <v>557</v>
      </c>
      <c r="F14" s="209" t="s">
        <v>558</v>
      </c>
      <c r="G14" s="210">
        <v>12</v>
      </c>
      <c r="H14" s="211" t="str">
        <f t="shared" si="0"/>
        <v>M</v>
      </c>
      <c r="I14" s="209" t="s">
        <v>559</v>
      </c>
      <c r="J14" s="209" t="s">
        <v>542</v>
      </c>
      <c r="K14" s="210">
        <v>1</v>
      </c>
      <c r="L14" s="210">
        <v>100</v>
      </c>
      <c r="M14" s="210">
        <v>1</v>
      </c>
      <c r="N14" s="209" t="s">
        <v>569</v>
      </c>
      <c r="O14" s="209" t="s">
        <v>570</v>
      </c>
      <c r="P14" s="212" t="s">
        <v>54</v>
      </c>
      <c r="Q14" s="209" t="s">
        <v>560</v>
      </c>
      <c r="R14" s="209" t="s">
        <v>211</v>
      </c>
      <c r="S14" s="213"/>
      <c r="T14" s="213"/>
      <c r="U14" s="210">
        <v>0.4</v>
      </c>
      <c r="V14" s="297">
        <v>144210.15</v>
      </c>
      <c r="W14" s="297">
        <f t="shared" si="1"/>
        <v>57684.06</v>
      </c>
      <c r="X14" s="214">
        <f t="shared" si="2"/>
        <v>26506.600512714202</v>
      </c>
      <c r="Y14" s="210">
        <f t="shared" si="3"/>
        <v>84190.660512714196</v>
      </c>
      <c r="Z14" s="215">
        <f>+$Z$4*U14</f>
        <v>89.28</v>
      </c>
      <c r="AA14" s="215">
        <f>+$AA$4*U14</f>
        <v>34.32</v>
      </c>
      <c r="AB14" s="215">
        <f>+$AB$4*U14</f>
        <v>6475.2000000000007</v>
      </c>
      <c r="AC14" s="215">
        <f>+$AC$4*U14</f>
        <v>518.66877323420067</v>
      </c>
      <c r="AD14" s="215"/>
      <c r="AE14" s="215">
        <f t="shared" si="13"/>
        <v>1130.6075759999999</v>
      </c>
      <c r="AF14" s="215"/>
      <c r="AG14" s="215">
        <f t="shared" si="5"/>
        <v>836.41886999999997</v>
      </c>
      <c r="AH14" s="215">
        <f t="shared" si="6"/>
        <v>568.64946348000001</v>
      </c>
      <c r="AI14" s="215"/>
      <c r="AJ14" s="216">
        <f t="shared" si="14"/>
        <v>261.36000000000007</v>
      </c>
      <c r="AK14" s="215">
        <f t="shared" si="8"/>
        <v>28.842030000000001</v>
      </c>
      <c r="AL14" s="215"/>
      <c r="AM14" s="216">
        <f t="shared" si="15"/>
        <v>3295.92</v>
      </c>
      <c r="AN14" s="215">
        <f t="shared" si="16"/>
        <v>13267.3338</v>
      </c>
      <c r="AO14" s="217">
        <f t="shared" si="11"/>
        <v>0</v>
      </c>
      <c r="AP14" s="217">
        <f t="shared" si="12"/>
        <v>1406.9282926829255</v>
      </c>
    </row>
    <row r="15" spans="2:44" ht="13.5" hidden="1" thickBot="1">
      <c r="B15" s="231" t="s">
        <v>561</v>
      </c>
      <c r="C15" s="231" t="s">
        <v>562</v>
      </c>
      <c r="D15" s="231" t="s">
        <v>563</v>
      </c>
      <c r="E15" s="231" t="s">
        <v>564</v>
      </c>
      <c r="F15" s="231" t="s">
        <v>565</v>
      </c>
      <c r="G15" s="280">
        <v>6</v>
      </c>
      <c r="H15" s="280" t="str">
        <f t="shared" si="0"/>
        <v>M</v>
      </c>
      <c r="I15" s="231" t="s">
        <v>559</v>
      </c>
      <c r="J15" s="231" t="s">
        <v>542</v>
      </c>
      <c r="K15" s="280">
        <v>1</v>
      </c>
      <c r="L15" s="280">
        <v>100</v>
      </c>
      <c r="M15" s="280">
        <v>1</v>
      </c>
      <c r="N15" s="231" t="s">
        <v>569</v>
      </c>
      <c r="O15" s="231" t="s">
        <v>570</v>
      </c>
      <c r="P15" s="212" t="s">
        <v>54</v>
      </c>
      <c r="Q15" s="231" t="s">
        <v>560</v>
      </c>
      <c r="R15" s="231" t="s">
        <v>211</v>
      </c>
      <c r="S15" s="281"/>
      <c r="T15" s="281"/>
      <c r="U15" s="280">
        <v>0.5</v>
      </c>
      <c r="V15" s="280">
        <v>96517.23</v>
      </c>
      <c r="W15" s="280">
        <f t="shared" si="1"/>
        <v>48258.614999999998</v>
      </c>
      <c r="X15" s="282">
        <f t="shared" si="2"/>
        <v>25460.533052212748</v>
      </c>
      <c r="Y15" s="280">
        <f t="shared" si="3"/>
        <v>73719.148052212753</v>
      </c>
      <c r="Z15" s="283">
        <f>+$Z$4*U15</f>
        <v>111.6</v>
      </c>
      <c r="AA15" s="283">
        <f>+$AA$4*U15</f>
        <v>42.9</v>
      </c>
      <c r="AB15" s="283">
        <f>+$AB$4*U15</f>
        <v>8094</v>
      </c>
      <c r="AC15" s="283">
        <f>+$AC$4*U15</f>
        <v>648.33596654275084</v>
      </c>
      <c r="AD15" s="283"/>
      <c r="AE15" s="283">
        <f t="shared" si="13"/>
        <v>945.86885399999994</v>
      </c>
      <c r="AF15" s="283"/>
      <c r="AG15" s="283">
        <f t="shared" si="5"/>
        <v>699.74991750000004</v>
      </c>
      <c r="AH15" s="283">
        <f t="shared" si="6"/>
        <v>475.73342667000003</v>
      </c>
      <c r="AI15" s="283"/>
      <c r="AJ15" s="284">
        <f t="shared" si="14"/>
        <v>326.70000000000005</v>
      </c>
      <c r="AK15" s="283">
        <f t="shared" si="8"/>
        <v>24.129307499999999</v>
      </c>
      <c r="AL15" s="283"/>
      <c r="AM15" s="284">
        <f t="shared" si="15"/>
        <v>2992.03413</v>
      </c>
      <c r="AN15" s="283">
        <f t="shared" si="16"/>
        <v>11099.481449999999</v>
      </c>
      <c r="AO15" s="217">
        <f t="shared" si="11"/>
        <v>0</v>
      </c>
      <c r="AP15" s="217">
        <f t="shared" si="12"/>
        <v>1177.0393902438955</v>
      </c>
    </row>
    <row r="16" spans="2:44" ht="13.5" hidden="1" thickBot="1">
      <c r="B16" s="198" t="s">
        <v>575</v>
      </c>
      <c r="C16" s="198" t="s">
        <v>576</v>
      </c>
      <c r="D16" s="198" t="s">
        <v>577</v>
      </c>
      <c r="E16" s="198" t="s">
        <v>578</v>
      </c>
      <c r="F16" s="198" t="s">
        <v>579</v>
      </c>
      <c r="G16" s="197">
        <v>14</v>
      </c>
      <c r="H16" s="197" t="str">
        <f t="shared" si="0"/>
        <v>C</v>
      </c>
      <c r="I16" s="198" t="s">
        <v>580</v>
      </c>
      <c r="J16" s="198" t="s">
        <v>542</v>
      </c>
      <c r="K16" s="197">
        <v>1</v>
      </c>
      <c r="L16" s="197">
        <v>100</v>
      </c>
      <c r="M16" s="197">
        <v>1</v>
      </c>
      <c r="N16" s="198" t="s">
        <v>581</v>
      </c>
      <c r="O16" s="198" t="s">
        <v>582</v>
      </c>
      <c r="P16" s="212" t="s">
        <v>54</v>
      </c>
      <c r="Q16" s="198" t="s">
        <v>544</v>
      </c>
      <c r="R16" s="198" t="s">
        <v>211</v>
      </c>
      <c r="S16" s="205"/>
      <c r="T16" s="205"/>
      <c r="U16" s="197">
        <v>1</v>
      </c>
      <c r="V16" s="296">
        <v>90872.065199999997</v>
      </c>
      <c r="W16" s="296">
        <f t="shared" si="1"/>
        <v>90872.065199999997</v>
      </c>
      <c r="X16" s="206">
        <f t="shared" si="2"/>
        <v>49021.705246147103</v>
      </c>
      <c r="Y16" s="197">
        <f t="shared" si="3"/>
        <v>139893.7704461471</v>
      </c>
      <c r="Z16" s="207">
        <f>+$Z$4*U16</f>
        <v>223.2</v>
      </c>
      <c r="AA16" s="207">
        <f>+$AA$4*U16</f>
        <v>85.8</v>
      </c>
      <c r="AB16" s="207">
        <f>+$AB$4*U16</f>
        <v>16188</v>
      </c>
      <c r="AC16" s="207">
        <f>+$AC$4*U16</f>
        <v>1296.6719330855017</v>
      </c>
      <c r="AD16" s="207"/>
      <c r="AE16" s="207">
        <f t="shared" si="13"/>
        <v>1781.09247792</v>
      </c>
      <c r="AF16" s="207"/>
      <c r="AG16" s="207">
        <f t="shared" si="5"/>
        <v>1317.6449454000001</v>
      </c>
      <c r="AH16" s="207">
        <f t="shared" si="6"/>
        <v>895.81681874160006</v>
      </c>
      <c r="AI16" s="207"/>
      <c r="AJ16" s="204">
        <f t="shared" si="14"/>
        <v>653.40000000000009</v>
      </c>
      <c r="AK16" s="207">
        <f t="shared" si="8"/>
        <v>45.436032599999997</v>
      </c>
      <c r="AL16" s="207"/>
      <c r="AM16" s="204">
        <f t="shared" si="15"/>
        <v>5634.0680424000002</v>
      </c>
      <c r="AN16" s="207">
        <f t="shared" si="16"/>
        <v>20900.574995999999</v>
      </c>
      <c r="AO16" s="217">
        <f t="shared" si="11"/>
        <v>2216.3918341463286</v>
      </c>
      <c r="AP16" s="217">
        <f t="shared" si="12"/>
        <v>0</v>
      </c>
    </row>
    <row r="17" spans="2:42" s="208" customFormat="1" ht="13.5" hidden="1" thickBot="1">
      <c r="B17" s="232" t="s">
        <v>583</v>
      </c>
      <c r="C17" s="233" t="s">
        <v>478</v>
      </c>
      <c r="D17" s="234"/>
      <c r="E17" s="234"/>
      <c r="F17" s="234"/>
      <c r="G17" s="234"/>
      <c r="H17" s="235" t="str">
        <f t="shared" si="0"/>
        <v>C</v>
      </c>
      <c r="I17" s="233" t="s">
        <v>541</v>
      </c>
      <c r="J17" s="233" t="s">
        <v>542</v>
      </c>
      <c r="K17" s="235">
        <v>0</v>
      </c>
      <c r="L17" s="234"/>
      <c r="M17" s="234"/>
      <c r="N17" s="233" t="s">
        <v>581</v>
      </c>
      <c r="O17" s="233" t="s">
        <v>582</v>
      </c>
      <c r="P17" s="212" t="s">
        <v>54</v>
      </c>
      <c r="Q17" s="233" t="s">
        <v>544</v>
      </c>
      <c r="R17" s="233" t="s">
        <v>211</v>
      </c>
      <c r="S17" s="234"/>
      <c r="T17" s="234"/>
      <c r="U17" s="235">
        <v>1</v>
      </c>
      <c r="V17" s="301">
        <v>0</v>
      </c>
      <c r="W17" s="301">
        <f t="shared" si="1"/>
        <v>0</v>
      </c>
      <c r="X17" s="236">
        <f t="shared" si="2"/>
        <v>0</v>
      </c>
      <c r="Y17" s="235">
        <f t="shared" si="3"/>
        <v>0</v>
      </c>
      <c r="Z17" s="237">
        <v>0</v>
      </c>
      <c r="AA17" s="237">
        <v>0</v>
      </c>
      <c r="AB17" s="237">
        <v>0</v>
      </c>
      <c r="AC17" s="237">
        <v>0</v>
      </c>
      <c r="AD17" s="237"/>
      <c r="AE17" s="237">
        <f t="shared" si="13"/>
        <v>0</v>
      </c>
      <c r="AF17" s="237"/>
      <c r="AG17" s="237">
        <f t="shared" si="5"/>
        <v>0</v>
      </c>
      <c r="AH17" s="237">
        <f t="shared" si="6"/>
        <v>0</v>
      </c>
      <c r="AI17" s="237"/>
      <c r="AJ17" s="238">
        <f t="shared" si="14"/>
        <v>0</v>
      </c>
      <c r="AK17" s="237">
        <f t="shared" si="8"/>
        <v>0</v>
      </c>
      <c r="AL17" s="237"/>
      <c r="AM17" s="238">
        <f t="shared" si="15"/>
        <v>0</v>
      </c>
      <c r="AN17" s="237">
        <f t="shared" si="16"/>
        <v>0</v>
      </c>
      <c r="AO17" s="272">
        <f t="shared" si="11"/>
        <v>0</v>
      </c>
      <c r="AP17" s="272">
        <f t="shared" si="12"/>
        <v>0</v>
      </c>
    </row>
    <row r="18" spans="2:42" ht="13.5" hidden="1" thickBot="1">
      <c r="B18" s="232" t="s">
        <v>566</v>
      </c>
      <c r="C18" s="233" t="s">
        <v>550</v>
      </c>
      <c r="D18" s="233" t="s">
        <v>567</v>
      </c>
      <c r="E18" s="233" t="s">
        <v>568</v>
      </c>
      <c r="F18" s="233" t="s">
        <v>553</v>
      </c>
      <c r="G18" s="235">
        <v>2</v>
      </c>
      <c r="H18" s="235" t="str">
        <f t="shared" si="0"/>
        <v>C</v>
      </c>
      <c r="I18" s="233" t="s">
        <v>541</v>
      </c>
      <c r="J18" s="233" t="s">
        <v>542</v>
      </c>
      <c r="K18" s="235">
        <v>1</v>
      </c>
      <c r="L18" s="235">
        <v>100</v>
      </c>
      <c r="M18" s="235">
        <v>1</v>
      </c>
      <c r="N18" s="233" t="s">
        <v>581</v>
      </c>
      <c r="O18" s="233" t="s">
        <v>582</v>
      </c>
      <c r="P18" s="212" t="s">
        <v>54</v>
      </c>
      <c r="Q18" s="233" t="s">
        <v>544</v>
      </c>
      <c r="R18" s="233" t="s">
        <v>211</v>
      </c>
      <c r="S18" s="234"/>
      <c r="T18" s="234"/>
      <c r="U18" s="235">
        <v>0.5</v>
      </c>
      <c r="V18" s="301">
        <v>49015.519499999995</v>
      </c>
      <c r="W18" s="301">
        <f t="shared" si="1"/>
        <v>24507.759749999997</v>
      </c>
      <c r="X18" s="236">
        <f t="shared" si="2"/>
        <v>17385.294618033251</v>
      </c>
      <c r="Y18" s="235">
        <f t="shared" si="3"/>
        <v>41893.054368033248</v>
      </c>
      <c r="Z18" s="237">
        <f>+$Z$4*U18</f>
        <v>111.6</v>
      </c>
      <c r="AA18" s="237">
        <f>+$AA$4*U18</f>
        <v>42.9</v>
      </c>
      <c r="AB18" s="237">
        <f>+$AB$4*U18</f>
        <v>8094</v>
      </c>
      <c r="AC18" s="237">
        <f>+$AC$4*U18</f>
        <v>648.33596654275084</v>
      </c>
      <c r="AD18" s="237"/>
      <c r="AE18" s="237">
        <f t="shared" si="13"/>
        <v>480.35209109999994</v>
      </c>
      <c r="AF18" s="237"/>
      <c r="AG18" s="237">
        <f t="shared" si="5"/>
        <v>355.36251637499998</v>
      </c>
      <c r="AH18" s="237">
        <f t="shared" si="6"/>
        <v>241.59749561549998</v>
      </c>
      <c r="AI18" s="237"/>
      <c r="AJ18" s="238">
        <f t="shared" si="14"/>
        <v>242.626821525</v>
      </c>
      <c r="AK18" s="237">
        <f t="shared" si="8"/>
        <v>12.253879874999999</v>
      </c>
      <c r="AL18" s="237"/>
      <c r="AM18" s="238">
        <f t="shared" si="15"/>
        <v>1519.4811044999999</v>
      </c>
      <c r="AN18" s="237">
        <f t="shared" si="16"/>
        <v>5636.7847425</v>
      </c>
      <c r="AO18" s="217">
        <f t="shared" si="11"/>
        <v>597.75023780487754</v>
      </c>
      <c r="AP18" s="217">
        <f t="shared" si="12"/>
        <v>0</v>
      </c>
    </row>
    <row r="19" spans="2:42" ht="13.5" hidden="1" thickBot="1">
      <c r="B19" s="233" t="s">
        <v>571</v>
      </c>
      <c r="C19" s="233" t="s">
        <v>572</v>
      </c>
      <c r="D19" s="234" t="s">
        <v>573</v>
      </c>
      <c r="E19" s="234"/>
      <c r="F19" s="234"/>
      <c r="G19" s="234"/>
      <c r="H19" s="235" t="str">
        <f t="shared" si="0"/>
        <v>C</v>
      </c>
      <c r="I19" s="233" t="s">
        <v>574</v>
      </c>
      <c r="J19" s="233" t="s">
        <v>542</v>
      </c>
      <c r="K19" s="235">
        <v>0.47499999999999998</v>
      </c>
      <c r="L19" s="234"/>
      <c r="M19" s="234"/>
      <c r="N19" s="233" t="s">
        <v>581</v>
      </c>
      <c r="O19" s="233" t="s">
        <v>582</v>
      </c>
      <c r="P19" s="212" t="s">
        <v>54</v>
      </c>
      <c r="Q19" s="233" t="s">
        <v>544</v>
      </c>
      <c r="R19" s="233" t="s">
        <v>211</v>
      </c>
      <c r="S19" s="234"/>
      <c r="T19" s="234"/>
      <c r="U19" s="235">
        <v>0.5</v>
      </c>
      <c r="V19" s="301">
        <v>18188.187000000002</v>
      </c>
      <c r="W19" s="301">
        <f t="shared" si="1"/>
        <v>9094.0935000000009</v>
      </c>
      <c r="X19" s="236">
        <f t="shared" si="2"/>
        <v>899.02389522300007</v>
      </c>
      <c r="Y19" s="235">
        <f t="shared" si="3"/>
        <v>9993.1173952230001</v>
      </c>
      <c r="Z19" s="237"/>
      <c r="AA19" s="237"/>
      <c r="AB19" s="237"/>
      <c r="AC19" s="237"/>
      <c r="AD19" s="237"/>
      <c r="AE19" s="237"/>
      <c r="AF19" s="237">
        <f>+V19*$AF$4</f>
        <v>672.96291900000006</v>
      </c>
      <c r="AG19" s="237">
        <f t="shared" si="5"/>
        <v>131.86435575000002</v>
      </c>
      <c r="AH19" s="237">
        <f t="shared" si="6"/>
        <v>89.649573723000017</v>
      </c>
      <c r="AI19" s="237"/>
      <c r="AJ19" s="238"/>
      <c r="AK19" s="237">
        <f t="shared" si="8"/>
        <v>4.5470467500000007</v>
      </c>
      <c r="AL19" s="237"/>
      <c r="AM19" s="238"/>
      <c r="AN19" s="237"/>
      <c r="AO19" s="217">
        <f t="shared" si="11"/>
        <v>221.80715853658512</v>
      </c>
      <c r="AP19" s="217">
        <f t="shared" si="12"/>
        <v>0</v>
      </c>
    </row>
    <row r="20" spans="2:42" ht="13.5" hidden="1" thickBot="1">
      <c r="B20" s="209" t="s">
        <v>554</v>
      </c>
      <c r="C20" s="209" t="s">
        <v>555</v>
      </c>
      <c r="D20" s="209" t="s">
        <v>556</v>
      </c>
      <c r="E20" s="209" t="s">
        <v>557</v>
      </c>
      <c r="F20" s="209" t="s">
        <v>558</v>
      </c>
      <c r="G20" s="210">
        <v>12</v>
      </c>
      <c r="H20" s="211" t="str">
        <f t="shared" si="0"/>
        <v>M</v>
      </c>
      <c r="I20" s="209" t="s">
        <v>559</v>
      </c>
      <c r="J20" s="209" t="s">
        <v>542</v>
      </c>
      <c r="K20" s="210">
        <v>1</v>
      </c>
      <c r="L20" s="210">
        <v>100</v>
      </c>
      <c r="M20" s="210">
        <v>1</v>
      </c>
      <c r="N20" s="209" t="s">
        <v>581</v>
      </c>
      <c r="O20" s="209" t="s">
        <v>582</v>
      </c>
      <c r="P20" s="212" t="s">
        <v>54</v>
      </c>
      <c r="Q20" s="209" t="s">
        <v>560</v>
      </c>
      <c r="R20" s="209" t="s">
        <v>211</v>
      </c>
      <c r="S20" s="213"/>
      <c r="T20" s="213"/>
      <c r="U20" s="210">
        <v>0.05</v>
      </c>
      <c r="V20" s="297">
        <v>144210.15</v>
      </c>
      <c r="W20" s="297">
        <f t="shared" si="1"/>
        <v>7210.5074999999997</v>
      </c>
      <c r="X20" s="214">
        <f t="shared" si="2"/>
        <v>3313.3250640892752</v>
      </c>
      <c r="Y20" s="210">
        <f t="shared" si="3"/>
        <v>10523.832564089274</v>
      </c>
      <c r="Z20" s="215">
        <f>+$Z$4*U20</f>
        <v>11.16</v>
      </c>
      <c r="AA20" s="215">
        <f t="shared" ref="AA20:AA51" si="17">+$AA$4*U20</f>
        <v>4.29</v>
      </c>
      <c r="AB20" s="215">
        <f>+$AB$4*U20</f>
        <v>809.40000000000009</v>
      </c>
      <c r="AC20" s="215">
        <f t="shared" ref="AC20:AC51" si="18">+$AC$4*U20</f>
        <v>64.833596654275084</v>
      </c>
      <c r="AD20" s="215"/>
      <c r="AE20" s="215">
        <f t="shared" ref="AE20:AE51" si="19">+W20*$AE$4</f>
        <v>141.32594699999999</v>
      </c>
      <c r="AF20" s="215"/>
      <c r="AG20" s="215">
        <f t="shared" si="5"/>
        <v>104.55235875</v>
      </c>
      <c r="AH20" s="215">
        <f t="shared" si="6"/>
        <v>71.081182935000001</v>
      </c>
      <c r="AI20" s="215"/>
      <c r="AJ20" s="216">
        <f t="shared" ref="AJ20:AJ51" si="20">SUM(IF(V20&gt;65999,((66000*$AJ$4)*U20),(IF(V20&lt;66000,($AJ$4*(W20))))))</f>
        <v>32.670000000000009</v>
      </c>
      <c r="AK20" s="215">
        <f t="shared" si="8"/>
        <v>3.6052537500000001</v>
      </c>
      <c r="AL20" s="215"/>
      <c r="AM20" s="216">
        <f>SUM(IF(V20&gt;132900,((132900*$AM$4)*U20),(IF(V20&lt;132900,($AM$4*(W20))))))</f>
        <v>411.99</v>
      </c>
      <c r="AN20" s="215">
        <f>+W20*$AN$4</f>
        <v>1658.416725</v>
      </c>
      <c r="AO20" s="217">
        <f t="shared" si="11"/>
        <v>0</v>
      </c>
      <c r="AP20" s="217">
        <f t="shared" si="12"/>
        <v>175.86603658536569</v>
      </c>
    </row>
    <row r="21" spans="2:42" ht="13.5" hidden="1" thickBot="1">
      <c r="B21" s="199" t="s">
        <v>584</v>
      </c>
      <c r="C21" s="199" t="s">
        <v>585</v>
      </c>
      <c r="D21" s="199" t="s">
        <v>577</v>
      </c>
      <c r="E21" s="199" t="s">
        <v>578</v>
      </c>
      <c r="F21" s="199" t="s">
        <v>586</v>
      </c>
      <c r="G21" s="200">
        <v>4</v>
      </c>
      <c r="H21" s="197" t="str">
        <f t="shared" si="0"/>
        <v>M</v>
      </c>
      <c r="I21" s="199" t="s">
        <v>559</v>
      </c>
      <c r="J21" s="199" t="s">
        <v>542</v>
      </c>
      <c r="K21" s="200">
        <v>1</v>
      </c>
      <c r="L21" s="200">
        <v>100</v>
      </c>
      <c r="M21" s="200">
        <v>1</v>
      </c>
      <c r="N21" s="199" t="s">
        <v>581</v>
      </c>
      <c r="O21" s="199" t="s">
        <v>582</v>
      </c>
      <c r="P21" s="212" t="s">
        <v>54</v>
      </c>
      <c r="Q21" s="199" t="s">
        <v>544</v>
      </c>
      <c r="R21" s="199" t="s">
        <v>211</v>
      </c>
      <c r="S21" s="199"/>
      <c r="T21" s="201"/>
      <c r="U21" s="200">
        <v>1</v>
      </c>
      <c r="V21" s="200">
        <v>101553.54</v>
      </c>
      <c r="W21" s="200">
        <f t="shared" si="1"/>
        <v>101553.54</v>
      </c>
      <c r="X21" s="202">
        <f t="shared" si="2"/>
        <v>52615.572894405501</v>
      </c>
      <c r="Y21" s="200">
        <f t="shared" si="3"/>
        <v>154169.11289440549</v>
      </c>
      <c r="Z21" s="203">
        <f>+$Z$4*U21</f>
        <v>223.2</v>
      </c>
      <c r="AA21" s="203">
        <f t="shared" si="17"/>
        <v>85.8</v>
      </c>
      <c r="AB21" s="203">
        <f>+$AB$4*U21</f>
        <v>16188</v>
      </c>
      <c r="AC21" s="203">
        <f t="shared" si="18"/>
        <v>1296.6719330855017</v>
      </c>
      <c r="AD21" s="203"/>
      <c r="AE21" s="203">
        <f t="shared" si="19"/>
        <v>1990.4493839999998</v>
      </c>
      <c r="AF21" s="203"/>
      <c r="AG21" s="203">
        <f t="shared" si="5"/>
        <v>1472.5263299999999</v>
      </c>
      <c r="AH21" s="203">
        <f t="shared" si="6"/>
        <v>1001.11479732</v>
      </c>
      <c r="AI21" s="203"/>
      <c r="AJ21" s="204">
        <f t="shared" si="20"/>
        <v>653.40000000000009</v>
      </c>
      <c r="AK21" s="203">
        <f t="shared" si="8"/>
        <v>50.776769999999999</v>
      </c>
      <c r="AL21" s="203"/>
      <c r="AM21" s="204">
        <f>SUM(IF(V21&gt;132900,((132900*$AM$4)*U21),(IF(V21&lt;132900,($AM$4*(W21))))))</f>
        <v>6296.3194799999992</v>
      </c>
      <c r="AN21" s="203">
        <f>+W21*$AN$4</f>
        <v>23357.314200000001</v>
      </c>
      <c r="AO21" s="217">
        <f t="shared" si="11"/>
        <v>0</v>
      </c>
      <c r="AP21" s="217">
        <f t="shared" si="12"/>
        <v>2476.9156097560917</v>
      </c>
    </row>
    <row r="22" spans="2:42" ht="13.5" hidden="1" thickBot="1">
      <c r="B22" s="212" t="s">
        <v>587</v>
      </c>
      <c r="C22" s="212" t="s">
        <v>447</v>
      </c>
      <c r="D22" s="212" t="s">
        <v>588</v>
      </c>
      <c r="E22" s="212" t="s">
        <v>589</v>
      </c>
      <c r="F22" s="212" t="s">
        <v>590</v>
      </c>
      <c r="G22" s="211">
        <v>6</v>
      </c>
      <c r="H22" s="211" t="str">
        <f t="shared" si="0"/>
        <v>C</v>
      </c>
      <c r="I22" s="212" t="s">
        <v>541</v>
      </c>
      <c r="J22" s="212" t="s">
        <v>542</v>
      </c>
      <c r="K22" s="211">
        <v>1</v>
      </c>
      <c r="L22" s="211">
        <v>100</v>
      </c>
      <c r="M22" s="211">
        <v>1</v>
      </c>
      <c r="N22" s="212" t="s">
        <v>64</v>
      </c>
      <c r="O22" s="212" t="s">
        <v>222</v>
      </c>
      <c r="P22" s="212" t="s">
        <v>54</v>
      </c>
      <c r="Q22" s="212" t="s">
        <v>544</v>
      </c>
      <c r="R22" s="212" t="s">
        <v>211</v>
      </c>
      <c r="S22" s="269"/>
      <c r="T22" s="269"/>
      <c r="U22" s="211">
        <v>0.5</v>
      </c>
      <c r="V22" s="295">
        <v>59720.639999999999</v>
      </c>
      <c r="W22" s="295">
        <f t="shared" si="1"/>
        <v>29860.32</v>
      </c>
      <c r="X22" s="270">
        <f t="shared" si="2"/>
        <v>19239.196681102752</v>
      </c>
      <c r="Y22" s="211">
        <f t="shared" si="3"/>
        <v>49099.516681102752</v>
      </c>
      <c r="Z22" s="271">
        <f>+$Z$4*U22</f>
        <v>111.6</v>
      </c>
      <c r="AA22" s="271">
        <f t="shared" si="17"/>
        <v>42.9</v>
      </c>
      <c r="AB22" s="271">
        <f>+$AB$4*U22</f>
        <v>8094</v>
      </c>
      <c r="AC22" s="271">
        <f t="shared" si="18"/>
        <v>648.33596654275084</v>
      </c>
      <c r="AD22" s="271"/>
      <c r="AE22" s="271">
        <f t="shared" si="19"/>
        <v>585.26227199999994</v>
      </c>
      <c r="AF22" s="271"/>
      <c r="AG22" s="271">
        <f t="shared" si="5"/>
        <v>432.97464000000002</v>
      </c>
      <c r="AH22" s="271">
        <f t="shared" si="6"/>
        <v>294.36303456000002</v>
      </c>
      <c r="AI22" s="271"/>
      <c r="AJ22" s="216">
        <f t="shared" si="20"/>
        <v>295.61716800000005</v>
      </c>
      <c r="AK22" s="271">
        <f t="shared" si="8"/>
        <v>14.930160000000001</v>
      </c>
      <c r="AL22" s="271"/>
      <c r="AM22" s="216">
        <f>SUM(IF(V22&gt;132900,((132900*$AM$4)*U22),(IF(V22&lt;132900,($AM$4*(W22))))))</f>
        <v>1851.3398399999999</v>
      </c>
      <c r="AN22" s="271">
        <f>+W22*$AN$4</f>
        <v>6867.8735999999999</v>
      </c>
      <c r="AO22" s="217">
        <f t="shared" si="11"/>
        <v>728.30048780487414</v>
      </c>
      <c r="AP22" s="217">
        <f t="shared" si="12"/>
        <v>0</v>
      </c>
    </row>
    <row r="23" spans="2:42" ht="13.5" hidden="1" thickBot="1">
      <c r="B23" s="198" t="s">
        <v>591</v>
      </c>
      <c r="C23" s="198" t="s">
        <v>592</v>
      </c>
      <c r="D23" s="198" t="s">
        <v>593</v>
      </c>
      <c r="E23" s="198" t="s">
        <v>594</v>
      </c>
      <c r="F23" s="198" t="s">
        <v>595</v>
      </c>
      <c r="G23" s="197">
        <v>3</v>
      </c>
      <c r="H23" s="197" t="str">
        <f t="shared" si="0"/>
        <v>C</v>
      </c>
      <c r="I23" s="198" t="s">
        <v>541</v>
      </c>
      <c r="J23" s="198" t="s">
        <v>542</v>
      </c>
      <c r="K23" s="197">
        <v>1</v>
      </c>
      <c r="L23" s="197">
        <v>100</v>
      </c>
      <c r="M23" s="197">
        <v>1</v>
      </c>
      <c r="N23" s="198" t="s">
        <v>64</v>
      </c>
      <c r="O23" s="198" t="s">
        <v>374</v>
      </c>
      <c r="P23" s="212" t="s">
        <v>60</v>
      </c>
      <c r="Q23" s="198" t="s">
        <v>544</v>
      </c>
      <c r="R23" s="198" t="s">
        <v>378</v>
      </c>
      <c r="S23" s="205"/>
      <c r="T23" s="205"/>
      <c r="U23" s="197">
        <v>1</v>
      </c>
      <c r="V23" s="296">
        <v>39248.160000000003</v>
      </c>
      <c r="W23" s="296">
        <f t="shared" si="1"/>
        <v>39248.160000000003</v>
      </c>
      <c r="X23" s="206">
        <f t="shared" si="2"/>
        <v>31387.586134365505</v>
      </c>
      <c r="Y23" s="197">
        <f t="shared" si="3"/>
        <v>70635.746134365501</v>
      </c>
      <c r="Z23" s="207">
        <f>+$Z$4*U23</f>
        <v>223.2</v>
      </c>
      <c r="AA23" s="207">
        <f t="shared" si="17"/>
        <v>85.8</v>
      </c>
      <c r="AB23" s="207">
        <f>+$AB$4*U23</f>
        <v>16188</v>
      </c>
      <c r="AC23" s="207">
        <f t="shared" si="18"/>
        <v>1296.6719330855017</v>
      </c>
      <c r="AD23" s="207"/>
      <c r="AE23" s="207">
        <f t="shared" si="19"/>
        <v>769.26393600000006</v>
      </c>
      <c r="AF23" s="207"/>
      <c r="AG23" s="207">
        <f t="shared" si="5"/>
        <v>569.09832000000006</v>
      </c>
      <c r="AH23" s="207">
        <f t="shared" si="6"/>
        <v>386.90836128000007</v>
      </c>
      <c r="AI23" s="207"/>
      <c r="AJ23" s="204">
        <f t="shared" si="20"/>
        <v>388.55678400000005</v>
      </c>
      <c r="AK23" s="207">
        <f t="shared" si="8"/>
        <v>19.624080000000003</v>
      </c>
      <c r="AL23" s="207"/>
      <c r="AM23" s="204">
        <f>SUM(IF(V23&gt;132900,((132900*$AM$4)*U23),(IF(V23&lt;132900,($AM$4*(W23))))))</f>
        <v>2433.3859200000002</v>
      </c>
      <c r="AN23" s="207">
        <f>+W23*$AN$4</f>
        <v>9027.0768000000007</v>
      </c>
      <c r="AO23" s="217">
        <f t="shared" si="11"/>
        <v>957.27219512195006</v>
      </c>
      <c r="AP23" s="217">
        <f t="shared" si="12"/>
        <v>0</v>
      </c>
    </row>
    <row r="24" spans="2:42" ht="13.5" hidden="1" thickBot="1">
      <c r="B24" s="198" t="s">
        <v>596</v>
      </c>
      <c r="C24" s="198" t="s">
        <v>597</v>
      </c>
      <c r="D24" s="198" t="s">
        <v>598</v>
      </c>
      <c r="E24" s="198" t="s">
        <v>599</v>
      </c>
      <c r="F24" s="198" t="s">
        <v>540</v>
      </c>
      <c r="G24" s="197">
        <v>2</v>
      </c>
      <c r="H24" s="197" t="str">
        <f t="shared" si="0"/>
        <v>C</v>
      </c>
      <c r="I24" s="198" t="s">
        <v>541</v>
      </c>
      <c r="J24" s="198" t="s">
        <v>542</v>
      </c>
      <c r="K24" s="197">
        <v>1</v>
      </c>
      <c r="L24" s="197">
        <v>100</v>
      </c>
      <c r="M24" s="197">
        <v>1</v>
      </c>
      <c r="N24" s="198" t="s">
        <v>64</v>
      </c>
      <c r="O24" s="198" t="s">
        <v>374</v>
      </c>
      <c r="P24" s="212" t="s">
        <v>60</v>
      </c>
      <c r="Q24" s="198" t="s">
        <v>544</v>
      </c>
      <c r="R24" s="198" t="s">
        <v>376</v>
      </c>
      <c r="S24" s="205"/>
      <c r="T24" s="205"/>
      <c r="U24" s="197">
        <v>1</v>
      </c>
      <c r="V24" s="296">
        <v>45515.76</v>
      </c>
      <c r="W24" s="296">
        <f t="shared" si="1"/>
        <v>45515.76</v>
      </c>
      <c r="X24" s="206">
        <f t="shared" si="2"/>
        <v>33558.419535165507</v>
      </c>
      <c r="Y24" s="197">
        <f t="shared" si="3"/>
        <v>79074.179535165516</v>
      </c>
      <c r="Z24" s="207">
        <f>+$Z$4*U24</f>
        <v>223.2</v>
      </c>
      <c r="AA24" s="207">
        <f t="shared" si="17"/>
        <v>85.8</v>
      </c>
      <c r="AB24" s="207">
        <f>+$AB$4*U24</f>
        <v>16188</v>
      </c>
      <c r="AC24" s="207">
        <f t="shared" si="18"/>
        <v>1296.6719330855017</v>
      </c>
      <c r="AD24" s="207"/>
      <c r="AE24" s="207">
        <f t="shared" si="19"/>
        <v>892.10889599999996</v>
      </c>
      <c r="AF24" s="207"/>
      <c r="AG24" s="207">
        <f t="shared" si="5"/>
        <v>659.97852000000012</v>
      </c>
      <c r="AH24" s="207">
        <f t="shared" si="6"/>
        <v>448.69436208000002</v>
      </c>
      <c r="AI24" s="207"/>
      <c r="AJ24" s="204">
        <f t="shared" si="20"/>
        <v>450.60602400000005</v>
      </c>
      <c r="AK24" s="207">
        <f t="shared" si="8"/>
        <v>22.75788</v>
      </c>
      <c r="AL24" s="207"/>
      <c r="AM24" s="204">
        <f>SUM(IF(V24&gt;132900,((132900*$AM$4)*U24),(IF(V24&lt;132900,($AM$4*(W24))))))</f>
        <v>2821.97712</v>
      </c>
      <c r="AN24" s="207">
        <f>+W24*$AN$4</f>
        <v>10468.624800000001</v>
      </c>
      <c r="AO24" s="217">
        <f t="shared" si="11"/>
        <v>1110.1404878048706</v>
      </c>
      <c r="AP24" s="217">
        <f t="shared" si="12"/>
        <v>0</v>
      </c>
    </row>
    <row r="25" spans="2:42" ht="13.5" hidden="1" thickBot="1">
      <c r="B25" s="198" t="s">
        <v>600</v>
      </c>
      <c r="C25" s="198" t="s">
        <v>601</v>
      </c>
      <c r="D25" s="198" t="s">
        <v>602</v>
      </c>
      <c r="E25" s="198" t="s">
        <v>603</v>
      </c>
      <c r="F25" s="198" t="s">
        <v>604</v>
      </c>
      <c r="G25" s="197">
        <v>15</v>
      </c>
      <c r="H25" s="197" t="str">
        <f t="shared" si="0"/>
        <v>N</v>
      </c>
      <c r="I25" s="198" t="s">
        <v>605</v>
      </c>
      <c r="J25" s="198" t="s">
        <v>542</v>
      </c>
      <c r="K25" s="197">
        <v>1</v>
      </c>
      <c r="L25" s="197">
        <v>100</v>
      </c>
      <c r="M25" s="197">
        <v>1</v>
      </c>
      <c r="N25" s="198" t="s">
        <v>64</v>
      </c>
      <c r="O25" s="198" t="s">
        <v>343</v>
      </c>
      <c r="P25" s="212" t="s">
        <v>57</v>
      </c>
      <c r="Q25" s="198" t="s">
        <v>606</v>
      </c>
      <c r="R25" s="198" t="s">
        <v>345</v>
      </c>
      <c r="S25" s="205"/>
      <c r="T25" s="205"/>
      <c r="U25" s="197">
        <v>0.3</v>
      </c>
      <c r="V25" s="296">
        <v>125015.23</v>
      </c>
      <c r="W25" s="296">
        <f t="shared" si="1"/>
        <v>37504.568999999996</v>
      </c>
      <c r="X25" s="206">
        <f t="shared" si="2"/>
        <v>13220.46709332765</v>
      </c>
      <c r="Y25" s="197">
        <f t="shared" si="3"/>
        <v>50725.036093327646</v>
      </c>
      <c r="Z25" s="207"/>
      <c r="AA25" s="207">
        <f t="shared" si="17"/>
        <v>25.74</v>
      </c>
      <c r="AB25" s="207">
        <f>+$AB$3*U25</f>
        <v>4971.5999999999995</v>
      </c>
      <c r="AC25" s="207">
        <f t="shared" si="18"/>
        <v>389.0015799256505</v>
      </c>
      <c r="AD25" s="207"/>
      <c r="AE25" s="207">
        <f t="shared" si="19"/>
        <v>735.08955239999989</v>
      </c>
      <c r="AF25" s="207"/>
      <c r="AG25" s="207">
        <f t="shared" si="5"/>
        <v>543.81625050000002</v>
      </c>
      <c r="AH25" s="207">
        <f t="shared" si="6"/>
        <v>369.72004120199995</v>
      </c>
      <c r="AI25" s="207"/>
      <c r="AJ25" s="204">
        <f t="shared" si="20"/>
        <v>196.02</v>
      </c>
      <c r="AK25" s="207">
        <f t="shared" si="8"/>
        <v>18.752284499999998</v>
      </c>
      <c r="AL25" s="207">
        <f>+W25*$AL$4</f>
        <v>5970.7273847999995</v>
      </c>
      <c r="AM25" s="204"/>
      <c r="AN25" s="207"/>
      <c r="AO25" s="217">
        <f t="shared" si="11"/>
        <v>0</v>
      </c>
      <c r="AP25" s="217">
        <f t="shared" si="12"/>
        <v>0</v>
      </c>
    </row>
    <row r="26" spans="2:42" ht="13.5" hidden="1" thickBot="1">
      <c r="B26" s="198" t="s">
        <v>607</v>
      </c>
      <c r="C26" s="198" t="s">
        <v>601</v>
      </c>
      <c r="D26" s="198" t="s">
        <v>608</v>
      </c>
      <c r="E26" s="198" t="s">
        <v>609</v>
      </c>
      <c r="F26" s="198" t="s">
        <v>604</v>
      </c>
      <c r="G26" s="197">
        <v>15</v>
      </c>
      <c r="H26" s="197" t="str">
        <f t="shared" si="0"/>
        <v>I</v>
      </c>
      <c r="I26" s="198" t="s">
        <v>610</v>
      </c>
      <c r="J26" s="198" t="s">
        <v>542</v>
      </c>
      <c r="K26" s="197">
        <v>1</v>
      </c>
      <c r="L26" s="197">
        <v>100</v>
      </c>
      <c r="M26" s="197">
        <v>1</v>
      </c>
      <c r="N26" s="198" t="s">
        <v>64</v>
      </c>
      <c r="O26" s="198" t="s">
        <v>343</v>
      </c>
      <c r="P26" s="212" t="s">
        <v>57</v>
      </c>
      <c r="Q26" s="198" t="s">
        <v>606</v>
      </c>
      <c r="R26" s="198" t="s">
        <v>345</v>
      </c>
      <c r="S26" s="205"/>
      <c r="T26" s="205"/>
      <c r="U26" s="197">
        <v>0.2</v>
      </c>
      <c r="V26" s="296">
        <v>125015.23</v>
      </c>
      <c r="W26" s="296">
        <f t="shared" si="1"/>
        <v>25003.046000000002</v>
      </c>
      <c r="X26" s="206">
        <f t="shared" si="2"/>
        <v>8813.6447288851014</v>
      </c>
      <c r="Y26" s="197">
        <f t="shared" si="3"/>
        <v>33816.690728885107</v>
      </c>
      <c r="Z26" s="207"/>
      <c r="AA26" s="207">
        <f t="shared" si="17"/>
        <v>17.16</v>
      </c>
      <c r="AB26" s="207">
        <f>+$AB$3*U26</f>
        <v>3314.4</v>
      </c>
      <c r="AC26" s="207">
        <f t="shared" si="18"/>
        <v>259.33438661710034</v>
      </c>
      <c r="AD26" s="207"/>
      <c r="AE26" s="207">
        <f t="shared" si="19"/>
        <v>490.05970160000004</v>
      </c>
      <c r="AF26" s="207"/>
      <c r="AG26" s="207">
        <f t="shared" si="5"/>
        <v>362.54416700000007</v>
      </c>
      <c r="AH26" s="207">
        <f t="shared" si="6"/>
        <v>246.48002746800003</v>
      </c>
      <c r="AI26" s="207"/>
      <c r="AJ26" s="204">
        <f t="shared" si="20"/>
        <v>130.68000000000004</v>
      </c>
      <c r="AK26" s="207">
        <f t="shared" si="8"/>
        <v>12.501523000000001</v>
      </c>
      <c r="AL26" s="207">
        <f>+W26*$AL$4</f>
        <v>3980.4849232000006</v>
      </c>
      <c r="AM26" s="204"/>
      <c r="AN26" s="207"/>
      <c r="AO26" s="217">
        <f t="shared" si="11"/>
        <v>0</v>
      </c>
      <c r="AP26" s="217">
        <f t="shared" si="12"/>
        <v>0</v>
      </c>
    </row>
    <row r="27" spans="2:42" ht="13.5" hidden="1" thickBot="1">
      <c r="B27" s="198" t="s">
        <v>611</v>
      </c>
      <c r="C27" s="198" t="s">
        <v>612</v>
      </c>
      <c r="D27" s="198" t="s">
        <v>613</v>
      </c>
      <c r="E27" s="198" t="s">
        <v>614</v>
      </c>
      <c r="F27" s="198" t="s">
        <v>615</v>
      </c>
      <c r="G27" s="197">
        <v>13</v>
      </c>
      <c r="H27" s="197" t="str">
        <f t="shared" si="0"/>
        <v>I</v>
      </c>
      <c r="I27" s="198" t="s">
        <v>610</v>
      </c>
      <c r="J27" s="198" t="s">
        <v>542</v>
      </c>
      <c r="K27" s="197">
        <v>1</v>
      </c>
      <c r="L27" s="197">
        <v>100</v>
      </c>
      <c r="M27" s="197">
        <v>1</v>
      </c>
      <c r="N27" s="198" t="s">
        <v>64</v>
      </c>
      <c r="O27" s="198" t="s">
        <v>343</v>
      </c>
      <c r="P27" s="212" t="s">
        <v>57</v>
      </c>
      <c r="Q27" s="198" t="s">
        <v>606</v>
      </c>
      <c r="R27" s="198" t="s">
        <v>616</v>
      </c>
      <c r="S27" s="205"/>
      <c r="T27" s="198" t="s">
        <v>203</v>
      </c>
      <c r="U27" s="197">
        <v>0.2</v>
      </c>
      <c r="V27" s="296">
        <v>103930.05</v>
      </c>
      <c r="W27" s="296">
        <f t="shared" si="1"/>
        <v>20786.010000000002</v>
      </c>
      <c r="X27" s="206">
        <f t="shared" si="2"/>
        <v>7954.8116111971003</v>
      </c>
      <c r="Y27" s="197">
        <f t="shared" si="3"/>
        <v>28740.821611197101</v>
      </c>
      <c r="Z27" s="207"/>
      <c r="AA27" s="207">
        <f t="shared" si="17"/>
        <v>17.16</v>
      </c>
      <c r="AB27" s="207">
        <f>+$AB$3*U27</f>
        <v>3314.4</v>
      </c>
      <c r="AC27" s="207">
        <f t="shared" si="18"/>
        <v>259.33438661710034</v>
      </c>
      <c r="AD27" s="207"/>
      <c r="AE27" s="207">
        <f t="shared" si="19"/>
        <v>407.40579600000001</v>
      </c>
      <c r="AF27" s="207"/>
      <c r="AG27" s="207">
        <f t="shared" si="5"/>
        <v>301.39714500000002</v>
      </c>
      <c r="AH27" s="207">
        <f t="shared" si="6"/>
        <v>204.90848658000002</v>
      </c>
      <c r="AI27" s="207"/>
      <c r="AJ27" s="204">
        <f t="shared" si="20"/>
        <v>130.68000000000004</v>
      </c>
      <c r="AK27" s="207">
        <f t="shared" si="8"/>
        <v>10.393005</v>
      </c>
      <c r="AL27" s="207">
        <f>+W27*$AL$4</f>
        <v>3309.1327920000003</v>
      </c>
      <c r="AM27" s="204"/>
      <c r="AN27" s="207"/>
      <c r="AO27" s="217">
        <f t="shared" si="11"/>
        <v>0</v>
      </c>
      <c r="AP27" s="217">
        <f t="shared" si="12"/>
        <v>0</v>
      </c>
    </row>
    <row r="28" spans="2:42" ht="13.5" hidden="1" thickBot="1">
      <c r="B28" s="198" t="s">
        <v>617</v>
      </c>
      <c r="C28" s="198" t="s">
        <v>618</v>
      </c>
      <c r="D28" s="198" t="s">
        <v>619</v>
      </c>
      <c r="E28" s="198" t="s">
        <v>620</v>
      </c>
      <c r="F28" s="198" t="s">
        <v>621</v>
      </c>
      <c r="G28" s="197">
        <v>15</v>
      </c>
      <c r="H28" s="197" t="str">
        <f t="shared" si="0"/>
        <v>I</v>
      </c>
      <c r="I28" s="198" t="s">
        <v>610</v>
      </c>
      <c r="J28" s="198" t="s">
        <v>542</v>
      </c>
      <c r="K28" s="197">
        <v>1</v>
      </c>
      <c r="L28" s="197">
        <v>100</v>
      </c>
      <c r="M28" s="197">
        <v>1</v>
      </c>
      <c r="N28" s="198" t="s">
        <v>64</v>
      </c>
      <c r="O28" s="198" t="s">
        <v>343</v>
      </c>
      <c r="P28" s="212" t="s">
        <v>57</v>
      </c>
      <c r="Q28" s="198" t="s">
        <v>606</v>
      </c>
      <c r="R28" s="198" t="s">
        <v>175</v>
      </c>
      <c r="S28" s="205"/>
      <c r="T28" s="198" t="s">
        <v>203</v>
      </c>
      <c r="U28" s="197">
        <v>0.5</v>
      </c>
      <c r="V28" s="296">
        <v>116835.36</v>
      </c>
      <c r="W28" s="296">
        <f t="shared" si="1"/>
        <v>58417.68</v>
      </c>
      <c r="X28" s="206">
        <f t="shared" si="2"/>
        <v>21201.16383998275</v>
      </c>
      <c r="Y28" s="197">
        <f t="shared" si="3"/>
        <v>79618.843839982757</v>
      </c>
      <c r="Z28" s="207"/>
      <c r="AA28" s="207">
        <f t="shared" si="17"/>
        <v>42.9</v>
      </c>
      <c r="AB28" s="207">
        <f>+$AB$3*U28</f>
        <v>8286</v>
      </c>
      <c r="AC28" s="207">
        <f t="shared" si="18"/>
        <v>648.33596654275084</v>
      </c>
      <c r="AD28" s="207"/>
      <c r="AE28" s="207">
        <f t="shared" si="19"/>
        <v>1144.9865279999999</v>
      </c>
      <c r="AF28" s="207"/>
      <c r="AG28" s="207">
        <f t="shared" si="5"/>
        <v>847.05636000000004</v>
      </c>
      <c r="AH28" s="207">
        <f t="shared" si="6"/>
        <v>575.88148944</v>
      </c>
      <c r="AI28" s="207"/>
      <c r="AJ28" s="204">
        <f t="shared" si="20"/>
        <v>326.70000000000005</v>
      </c>
      <c r="AK28" s="207">
        <f t="shared" si="8"/>
        <v>29.208840000000002</v>
      </c>
      <c r="AL28" s="207">
        <f>+W28*$AL$4</f>
        <v>9300.0946560000011</v>
      </c>
      <c r="AM28" s="204"/>
      <c r="AN28" s="207"/>
      <c r="AO28" s="217">
        <f t="shared" si="11"/>
        <v>0</v>
      </c>
      <c r="AP28" s="217">
        <f t="shared" si="12"/>
        <v>0</v>
      </c>
    </row>
    <row r="29" spans="2:42" ht="13.5" thickBot="1">
      <c r="B29" s="209" t="s">
        <v>431</v>
      </c>
      <c r="C29" s="209" t="s">
        <v>432</v>
      </c>
      <c r="D29" s="209" t="s">
        <v>622</v>
      </c>
      <c r="E29" s="209" t="s">
        <v>623</v>
      </c>
      <c r="F29" s="209" t="s">
        <v>624</v>
      </c>
      <c r="G29" s="210">
        <v>15</v>
      </c>
      <c r="H29" s="211" t="str">
        <f t="shared" si="0"/>
        <v>C</v>
      </c>
      <c r="I29" s="209" t="s">
        <v>541</v>
      </c>
      <c r="J29" s="209" t="s">
        <v>542</v>
      </c>
      <c r="K29" s="210">
        <v>1</v>
      </c>
      <c r="L29" s="210">
        <v>100</v>
      </c>
      <c r="M29" s="210">
        <v>1</v>
      </c>
      <c r="N29" s="209" t="s">
        <v>64</v>
      </c>
      <c r="O29" s="209" t="s">
        <v>333</v>
      </c>
      <c r="P29" s="212" t="s">
        <v>56</v>
      </c>
      <c r="Q29" s="209" t="s">
        <v>544</v>
      </c>
      <c r="R29" s="209" t="s">
        <v>323</v>
      </c>
      <c r="S29" s="213"/>
      <c r="T29" s="213"/>
      <c r="U29" s="210">
        <v>1</v>
      </c>
      <c r="V29" s="297">
        <v>119232.03</v>
      </c>
      <c r="W29" s="297">
        <f t="shared" si="1"/>
        <v>119232.03</v>
      </c>
      <c r="X29" s="214">
        <f t="shared" si="2"/>
        <v>58743.642282825502</v>
      </c>
      <c r="Y29" s="210">
        <f t="shared" si="3"/>
        <v>177975.67228282552</v>
      </c>
      <c r="Z29" s="215">
        <f t="shared" ref="Z29:Z60" si="21">+$Z$4*U29</f>
        <v>223.2</v>
      </c>
      <c r="AA29" s="215">
        <f t="shared" si="17"/>
        <v>85.8</v>
      </c>
      <c r="AB29" s="215">
        <f t="shared" ref="AB29:AB60" si="22">+$AB$4*U29</f>
        <v>16188</v>
      </c>
      <c r="AC29" s="215">
        <f t="shared" si="18"/>
        <v>1296.6719330855017</v>
      </c>
      <c r="AD29" s="215">
        <v>180</v>
      </c>
      <c r="AE29" s="215">
        <f t="shared" si="19"/>
        <v>2336.9477879999999</v>
      </c>
      <c r="AF29" s="215"/>
      <c r="AG29" s="215">
        <f t="shared" si="5"/>
        <v>1728.864435</v>
      </c>
      <c r="AH29" s="215">
        <f t="shared" si="6"/>
        <v>1175.3893517399999</v>
      </c>
      <c r="AI29" s="215"/>
      <c r="AJ29" s="216">
        <f t="shared" si="20"/>
        <v>653.40000000000009</v>
      </c>
      <c r="AK29" s="215">
        <f t="shared" si="8"/>
        <v>59.616014999999997</v>
      </c>
      <c r="AL29" s="215"/>
      <c r="AM29" s="216">
        <f t="shared" ref="AM29:AM60" si="23">SUM(IF(V29&gt;132900,((132900*$AM$4)*U29),(IF(V29&lt;132900,($AM$4*(W29))))))</f>
        <v>7392.3858600000003</v>
      </c>
      <c r="AN29" s="215">
        <f t="shared" ref="AN29:AN60" si="24">+W29*$AN$4</f>
        <v>27423.366900000001</v>
      </c>
      <c r="AO29" s="217">
        <f t="shared" si="11"/>
        <v>0</v>
      </c>
      <c r="AP29" s="217">
        <f t="shared" si="12"/>
        <v>0</v>
      </c>
    </row>
    <row r="30" spans="2:42" ht="13.5" thickBot="1">
      <c r="B30" s="199" t="s">
        <v>433</v>
      </c>
      <c r="C30" s="199" t="s">
        <v>434</v>
      </c>
      <c r="D30" s="199" t="s">
        <v>625</v>
      </c>
      <c r="E30" s="199" t="s">
        <v>626</v>
      </c>
      <c r="F30" s="199" t="s">
        <v>627</v>
      </c>
      <c r="G30" s="200">
        <v>15</v>
      </c>
      <c r="H30" s="197" t="str">
        <f t="shared" si="0"/>
        <v>C</v>
      </c>
      <c r="I30" s="199" t="s">
        <v>541</v>
      </c>
      <c r="J30" s="199" t="s">
        <v>542</v>
      </c>
      <c r="K30" s="200">
        <v>1</v>
      </c>
      <c r="L30" s="200">
        <v>100</v>
      </c>
      <c r="M30" s="200">
        <v>1</v>
      </c>
      <c r="N30" s="199" t="s">
        <v>64</v>
      </c>
      <c r="O30" s="199" t="s">
        <v>328</v>
      </c>
      <c r="P30" s="212" t="s">
        <v>56</v>
      </c>
      <c r="Q30" s="199" t="s">
        <v>544</v>
      </c>
      <c r="R30" s="199" t="s">
        <v>323</v>
      </c>
      <c r="S30" s="201"/>
      <c r="T30" s="201"/>
      <c r="U30" s="200">
        <v>1</v>
      </c>
      <c r="V30" s="298">
        <v>113486.8</v>
      </c>
      <c r="W30" s="298">
        <f t="shared" si="1"/>
        <v>113486.8</v>
      </c>
      <c r="X30" s="202">
        <f t="shared" si="2"/>
        <v>56630.613687485507</v>
      </c>
      <c r="Y30" s="200">
        <f t="shared" si="3"/>
        <v>170117.4136874855</v>
      </c>
      <c r="Z30" s="203">
        <f t="shared" si="21"/>
        <v>223.2</v>
      </c>
      <c r="AA30" s="203">
        <f t="shared" si="17"/>
        <v>85.8</v>
      </c>
      <c r="AB30" s="203">
        <f t="shared" si="22"/>
        <v>16188</v>
      </c>
      <c r="AC30" s="203">
        <f t="shared" si="18"/>
        <v>1296.6719330855017</v>
      </c>
      <c r="AD30" s="203"/>
      <c r="AE30" s="203">
        <f t="shared" si="19"/>
        <v>2224.3412800000001</v>
      </c>
      <c r="AF30" s="203"/>
      <c r="AG30" s="203">
        <f t="shared" si="5"/>
        <v>1645.5586000000001</v>
      </c>
      <c r="AH30" s="203">
        <f t="shared" si="6"/>
        <v>1118.7528744000001</v>
      </c>
      <c r="AI30" s="203"/>
      <c r="AJ30" s="204">
        <f t="shared" si="20"/>
        <v>653.40000000000009</v>
      </c>
      <c r="AK30" s="203">
        <f t="shared" si="8"/>
        <v>56.743400000000001</v>
      </c>
      <c r="AL30" s="203"/>
      <c r="AM30" s="204">
        <f t="shared" si="23"/>
        <v>7036.1815999999999</v>
      </c>
      <c r="AN30" s="203">
        <f t="shared" si="24"/>
        <v>26101.964000000004</v>
      </c>
      <c r="AO30" s="217">
        <f t="shared" si="11"/>
        <v>0</v>
      </c>
      <c r="AP30" s="217">
        <f t="shared" si="12"/>
        <v>0</v>
      </c>
    </row>
    <row r="31" spans="2:42" ht="13.5" thickBot="1">
      <c r="B31" s="199" t="s">
        <v>435</v>
      </c>
      <c r="C31" s="199" t="s">
        <v>436</v>
      </c>
      <c r="D31" s="199" t="s">
        <v>628</v>
      </c>
      <c r="E31" s="199" t="s">
        <v>629</v>
      </c>
      <c r="F31" s="199" t="s">
        <v>630</v>
      </c>
      <c r="G31" s="200">
        <v>4</v>
      </c>
      <c r="H31" s="197" t="str">
        <f t="shared" si="0"/>
        <v>C</v>
      </c>
      <c r="I31" s="199" t="s">
        <v>541</v>
      </c>
      <c r="J31" s="199" t="s">
        <v>542</v>
      </c>
      <c r="K31" s="200">
        <v>1</v>
      </c>
      <c r="L31" s="200">
        <v>100</v>
      </c>
      <c r="M31" s="200">
        <v>1</v>
      </c>
      <c r="N31" s="199" t="s">
        <v>64</v>
      </c>
      <c r="O31" s="199" t="s">
        <v>328</v>
      </c>
      <c r="P31" s="212" t="s">
        <v>56</v>
      </c>
      <c r="Q31" s="199" t="s">
        <v>544</v>
      </c>
      <c r="R31" s="199" t="s">
        <v>323</v>
      </c>
      <c r="S31" s="201"/>
      <c r="T31" s="201"/>
      <c r="U31" s="200">
        <v>1</v>
      </c>
      <c r="V31" s="298">
        <v>80317.679999999993</v>
      </c>
      <c r="W31" s="298">
        <f t="shared" si="1"/>
        <v>80317.679999999993</v>
      </c>
      <c r="X31" s="202">
        <f t="shared" si="2"/>
        <v>45470.597910525503</v>
      </c>
      <c r="Y31" s="200">
        <f t="shared" si="3"/>
        <v>125788.2779105255</v>
      </c>
      <c r="Z31" s="203">
        <f t="shared" si="21"/>
        <v>223.2</v>
      </c>
      <c r="AA31" s="203">
        <f t="shared" si="17"/>
        <v>85.8</v>
      </c>
      <c r="AB31" s="203">
        <f t="shared" si="22"/>
        <v>16188</v>
      </c>
      <c r="AC31" s="203">
        <f t="shared" si="18"/>
        <v>1296.6719330855017</v>
      </c>
      <c r="AD31" s="203"/>
      <c r="AE31" s="203">
        <f t="shared" si="19"/>
        <v>1574.2265279999999</v>
      </c>
      <c r="AF31" s="203"/>
      <c r="AG31" s="203">
        <f t="shared" si="5"/>
        <v>1164.60636</v>
      </c>
      <c r="AH31" s="203">
        <f t="shared" si="6"/>
        <v>791.77168943999993</v>
      </c>
      <c r="AI31" s="203"/>
      <c r="AJ31" s="204">
        <f t="shared" si="20"/>
        <v>653.40000000000009</v>
      </c>
      <c r="AK31" s="203">
        <f t="shared" si="8"/>
        <v>40.158839999999998</v>
      </c>
      <c r="AL31" s="203"/>
      <c r="AM31" s="204">
        <f t="shared" si="23"/>
        <v>4979.6961599999995</v>
      </c>
      <c r="AN31" s="203">
        <f t="shared" si="24"/>
        <v>18473.0664</v>
      </c>
      <c r="AO31" s="217">
        <f t="shared" si="11"/>
        <v>1958.9678048780479</v>
      </c>
      <c r="AP31" s="217">
        <f t="shared" si="12"/>
        <v>0</v>
      </c>
    </row>
    <row r="32" spans="2:42" ht="13.5" hidden="1" thickBot="1">
      <c r="B32" s="199" t="s">
        <v>631</v>
      </c>
      <c r="C32" s="199" t="s">
        <v>537</v>
      </c>
      <c r="D32" s="199" t="s">
        <v>632</v>
      </c>
      <c r="E32" s="199" t="s">
        <v>633</v>
      </c>
      <c r="F32" s="199" t="s">
        <v>540</v>
      </c>
      <c r="G32" s="200">
        <v>2</v>
      </c>
      <c r="H32" s="197" t="str">
        <f t="shared" si="0"/>
        <v>C</v>
      </c>
      <c r="I32" s="199" t="s">
        <v>541</v>
      </c>
      <c r="J32" s="199" t="s">
        <v>542</v>
      </c>
      <c r="K32" s="200">
        <v>1</v>
      </c>
      <c r="L32" s="200">
        <v>100</v>
      </c>
      <c r="M32" s="200">
        <v>1</v>
      </c>
      <c r="N32" s="199" t="s">
        <v>64</v>
      </c>
      <c r="O32" s="199" t="s">
        <v>292</v>
      </c>
      <c r="P32" s="212" t="s">
        <v>55</v>
      </c>
      <c r="Q32" s="199" t="s">
        <v>544</v>
      </c>
      <c r="R32" s="199" t="s">
        <v>233</v>
      </c>
      <c r="S32" s="201"/>
      <c r="T32" s="201"/>
      <c r="U32" s="200">
        <v>1</v>
      </c>
      <c r="V32" s="298">
        <v>45515.76</v>
      </c>
      <c r="W32" s="298">
        <f t="shared" si="1"/>
        <v>45515.76</v>
      </c>
      <c r="X32" s="202">
        <f t="shared" si="2"/>
        <v>33558.419535165507</v>
      </c>
      <c r="Y32" s="200">
        <f t="shared" si="3"/>
        <v>79074.179535165516</v>
      </c>
      <c r="Z32" s="203">
        <f t="shared" si="21"/>
        <v>223.2</v>
      </c>
      <c r="AA32" s="203">
        <f t="shared" si="17"/>
        <v>85.8</v>
      </c>
      <c r="AB32" s="203">
        <f t="shared" si="22"/>
        <v>16188</v>
      </c>
      <c r="AC32" s="203">
        <f t="shared" si="18"/>
        <v>1296.6719330855017</v>
      </c>
      <c r="AD32" s="203"/>
      <c r="AE32" s="203">
        <f t="shared" si="19"/>
        <v>892.10889599999996</v>
      </c>
      <c r="AF32" s="203"/>
      <c r="AG32" s="203">
        <f t="shared" si="5"/>
        <v>659.97852000000012</v>
      </c>
      <c r="AH32" s="203">
        <f t="shared" si="6"/>
        <v>448.69436208000002</v>
      </c>
      <c r="AI32" s="203"/>
      <c r="AJ32" s="204">
        <f t="shared" si="20"/>
        <v>450.60602400000005</v>
      </c>
      <c r="AK32" s="203">
        <f t="shared" si="8"/>
        <v>22.75788</v>
      </c>
      <c r="AL32" s="203"/>
      <c r="AM32" s="204">
        <f t="shared" si="23"/>
        <v>2821.97712</v>
      </c>
      <c r="AN32" s="203">
        <f t="shared" si="24"/>
        <v>10468.624800000001</v>
      </c>
      <c r="AO32" s="217">
        <f t="shared" si="11"/>
        <v>1110.1404878048706</v>
      </c>
      <c r="AP32" s="217">
        <f t="shared" si="12"/>
        <v>0</v>
      </c>
    </row>
    <row r="33" spans="2:42" ht="13.5" hidden="1" thickBot="1">
      <c r="B33" s="199" t="s">
        <v>634</v>
      </c>
      <c r="C33" s="199" t="s">
        <v>537</v>
      </c>
      <c r="D33" s="199" t="s">
        <v>635</v>
      </c>
      <c r="E33" s="199" t="s">
        <v>636</v>
      </c>
      <c r="F33" s="199" t="s">
        <v>540</v>
      </c>
      <c r="G33" s="200">
        <v>7</v>
      </c>
      <c r="H33" s="197" t="str">
        <f t="shared" si="0"/>
        <v>C</v>
      </c>
      <c r="I33" s="199" t="s">
        <v>541</v>
      </c>
      <c r="J33" s="199" t="s">
        <v>542</v>
      </c>
      <c r="K33" s="200">
        <v>1</v>
      </c>
      <c r="L33" s="200">
        <v>100</v>
      </c>
      <c r="M33" s="200">
        <v>1</v>
      </c>
      <c r="N33" s="199" t="s">
        <v>64</v>
      </c>
      <c r="O33" s="199" t="s">
        <v>296</v>
      </c>
      <c r="P33" s="212" t="s">
        <v>55</v>
      </c>
      <c r="Q33" s="199" t="s">
        <v>544</v>
      </c>
      <c r="R33" s="199" t="s">
        <v>233</v>
      </c>
      <c r="S33" s="201"/>
      <c r="T33" s="201"/>
      <c r="U33" s="200">
        <v>1</v>
      </c>
      <c r="V33" s="298">
        <v>51496.92</v>
      </c>
      <c r="W33" s="298">
        <f t="shared" si="1"/>
        <v>51496.92</v>
      </c>
      <c r="X33" s="202">
        <f t="shared" si="2"/>
        <v>35630.042150445501</v>
      </c>
      <c r="Y33" s="200">
        <f t="shared" si="3"/>
        <v>87126.962150445499</v>
      </c>
      <c r="Z33" s="203">
        <f t="shared" si="21"/>
        <v>223.2</v>
      </c>
      <c r="AA33" s="203">
        <f t="shared" si="17"/>
        <v>85.8</v>
      </c>
      <c r="AB33" s="203">
        <f t="shared" si="22"/>
        <v>16188</v>
      </c>
      <c r="AC33" s="203">
        <f t="shared" si="18"/>
        <v>1296.6719330855017</v>
      </c>
      <c r="AD33" s="203"/>
      <c r="AE33" s="203">
        <f t="shared" si="19"/>
        <v>1009.3396319999999</v>
      </c>
      <c r="AF33" s="203"/>
      <c r="AG33" s="203">
        <f t="shared" si="5"/>
        <v>746.70533999999998</v>
      </c>
      <c r="AH33" s="203">
        <f t="shared" si="6"/>
        <v>507.65663735999999</v>
      </c>
      <c r="AI33" s="203"/>
      <c r="AJ33" s="204">
        <f t="shared" si="20"/>
        <v>509.81950800000004</v>
      </c>
      <c r="AK33" s="203">
        <f t="shared" si="8"/>
        <v>25.748459999999998</v>
      </c>
      <c r="AL33" s="203"/>
      <c r="AM33" s="204">
        <f t="shared" si="23"/>
        <v>3192.8090400000001</v>
      </c>
      <c r="AN33" s="203">
        <f t="shared" si="24"/>
        <v>11844.2916</v>
      </c>
      <c r="AO33" s="217">
        <f t="shared" si="11"/>
        <v>1256.0224390243893</v>
      </c>
      <c r="AP33" s="217">
        <f t="shared" si="12"/>
        <v>0</v>
      </c>
    </row>
    <row r="34" spans="2:42" ht="13.5" hidden="1" thickBot="1">
      <c r="B34" s="199" t="s">
        <v>637</v>
      </c>
      <c r="C34" s="199" t="s">
        <v>638</v>
      </c>
      <c r="D34" s="199" t="s">
        <v>639</v>
      </c>
      <c r="E34" s="199" t="s">
        <v>640</v>
      </c>
      <c r="F34" s="199" t="s">
        <v>590</v>
      </c>
      <c r="G34" s="200">
        <v>4</v>
      </c>
      <c r="H34" s="197" t="str">
        <f t="shared" si="0"/>
        <v>C</v>
      </c>
      <c r="I34" s="199" t="s">
        <v>541</v>
      </c>
      <c r="J34" s="199" t="s">
        <v>542</v>
      </c>
      <c r="K34" s="200">
        <v>1</v>
      </c>
      <c r="L34" s="200">
        <v>100</v>
      </c>
      <c r="M34" s="200">
        <v>1</v>
      </c>
      <c r="N34" s="199" t="s">
        <v>64</v>
      </c>
      <c r="O34" s="199" t="s">
        <v>343</v>
      </c>
      <c r="P34" s="212" t="s">
        <v>57</v>
      </c>
      <c r="Q34" s="199" t="s">
        <v>544</v>
      </c>
      <c r="R34" s="199" t="s">
        <v>345</v>
      </c>
      <c r="S34" s="201"/>
      <c r="T34" s="201"/>
      <c r="U34" s="200">
        <v>1</v>
      </c>
      <c r="V34" s="298">
        <v>56843.040000000001</v>
      </c>
      <c r="W34" s="298">
        <f t="shared" si="1"/>
        <v>56843.040000000001</v>
      </c>
      <c r="X34" s="202">
        <f t="shared" si="2"/>
        <v>37481.7135814055</v>
      </c>
      <c r="Y34" s="200">
        <f t="shared" si="3"/>
        <v>94324.753581405501</v>
      </c>
      <c r="Z34" s="203">
        <f t="shared" si="21"/>
        <v>223.2</v>
      </c>
      <c r="AA34" s="203">
        <f t="shared" si="17"/>
        <v>85.8</v>
      </c>
      <c r="AB34" s="203">
        <f t="shared" si="22"/>
        <v>16188</v>
      </c>
      <c r="AC34" s="203">
        <f t="shared" si="18"/>
        <v>1296.6719330855017</v>
      </c>
      <c r="AD34" s="203"/>
      <c r="AE34" s="203">
        <f t="shared" si="19"/>
        <v>1114.1235839999999</v>
      </c>
      <c r="AF34" s="203"/>
      <c r="AG34" s="203">
        <f t="shared" si="5"/>
        <v>824.22408000000007</v>
      </c>
      <c r="AH34" s="203">
        <f t="shared" si="6"/>
        <v>560.35868832000006</v>
      </c>
      <c r="AI34" s="203"/>
      <c r="AJ34" s="204">
        <f t="shared" si="20"/>
        <v>562.74609600000008</v>
      </c>
      <c r="AK34" s="203">
        <f t="shared" si="8"/>
        <v>28.421520000000001</v>
      </c>
      <c r="AL34" s="203"/>
      <c r="AM34" s="204">
        <f t="shared" si="23"/>
        <v>3524.2684800000002</v>
      </c>
      <c r="AN34" s="203">
        <f t="shared" si="24"/>
        <v>13073.899200000002</v>
      </c>
      <c r="AO34" s="217">
        <f t="shared" si="11"/>
        <v>1386.4156097560917</v>
      </c>
      <c r="AP34" s="217">
        <f t="shared" si="12"/>
        <v>0</v>
      </c>
    </row>
    <row r="35" spans="2:42" ht="13.5" hidden="1" thickBot="1">
      <c r="B35" s="199" t="s">
        <v>641</v>
      </c>
      <c r="C35" s="199" t="s">
        <v>537</v>
      </c>
      <c r="D35" s="199" t="s">
        <v>642</v>
      </c>
      <c r="E35" s="199" t="s">
        <v>643</v>
      </c>
      <c r="F35" s="199" t="s">
        <v>540</v>
      </c>
      <c r="G35" s="200">
        <v>4</v>
      </c>
      <c r="H35" s="197" t="str">
        <f t="shared" si="0"/>
        <v>C</v>
      </c>
      <c r="I35" s="199" t="s">
        <v>541</v>
      </c>
      <c r="J35" s="199" t="s">
        <v>542</v>
      </c>
      <c r="K35" s="200">
        <v>1</v>
      </c>
      <c r="L35" s="200">
        <v>100</v>
      </c>
      <c r="M35" s="200">
        <v>1</v>
      </c>
      <c r="N35" s="199" t="s">
        <v>64</v>
      </c>
      <c r="O35" s="199" t="s">
        <v>300</v>
      </c>
      <c r="P35" s="212" t="s">
        <v>55</v>
      </c>
      <c r="Q35" s="199" t="s">
        <v>544</v>
      </c>
      <c r="R35" s="199" t="s">
        <v>233</v>
      </c>
      <c r="S35" s="201"/>
      <c r="T35" s="201"/>
      <c r="U35" s="200">
        <v>1</v>
      </c>
      <c r="V35" s="298">
        <v>47820</v>
      </c>
      <c r="W35" s="298">
        <f t="shared" si="1"/>
        <v>47820</v>
      </c>
      <c r="X35" s="202">
        <f t="shared" si="2"/>
        <v>34356.511493085505</v>
      </c>
      <c r="Y35" s="200">
        <f t="shared" si="3"/>
        <v>82176.511493085505</v>
      </c>
      <c r="Z35" s="203">
        <f t="shared" si="21"/>
        <v>223.2</v>
      </c>
      <c r="AA35" s="203">
        <f t="shared" si="17"/>
        <v>85.8</v>
      </c>
      <c r="AB35" s="203">
        <f t="shared" si="22"/>
        <v>16188</v>
      </c>
      <c r="AC35" s="203">
        <f t="shared" si="18"/>
        <v>1296.6719330855017</v>
      </c>
      <c r="AD35" s="203"/>
      <c r="AE35" s="203">
        <f t="shared" si="19"/>
        <v>937.27199999999993</v>
      </c>
      <c r="AF35" s="203"/>
      <c r="AG35" s="203">
        <f t="shared" si="5"/>
        <v>693.39</v>
      </c>
      <c r="AH35" s="203">
        <f t="shared" si="6"/>
        <v>471.40956</v>
      </c>
      <c r="AI35" s="203"/>
      <c r="AJ35" s="204">
        <f t="shared" si="20"/>
        <v>473.41800000000006</v>
      </c>
      <c r="AK35" s="203">
        <f t="shared" si="8"/>
        <v>23.91</v>
      </c>
      <c r="AL35" s="203"/>
      <c r="AM35" s="204">
        <f t="shared" si="23"/>
        <v>2964.84</v>
      </c>
      <c r="AN35" s="203">
        <f t="shared" si="24"/>
        <v>10998.6</v>
      </c>
      <c r="AO35" s="217">
        <f t="shared" si="11"/>
        <v>1166.341463414632</v>
      </c>
      <c r="AP35" s="217">
        <f t="shared" si="12"/>
        <v>0</v>
      </c>
    </row>
    <row r="36" spans="2:42" ht="13.5" hidden="1" thickBot="1">
      <c r="B36" s="199" t="s">
        <v>644</v>
      </c>
      <c r="C36" s="199" t="s">
        <v>645</v>
      </c>
      <c r="D36" s="199" t="s">
        <v>646</v>
      </c>
      <c r="E36" s="199" t="s">
        <v>647</v>
      </c>
      <c r="F36" s="199">
        <v>465</v>
      </c>
      <c r="G36" s="200">
        <v>4</v>
      </c>
      <c r="H36" s="197" t="str">
        <f t="shared" si="0"/>
        <v>C</v>
      </c>
      <c r="I36" s="199" t="s">
        <v>541</v>
      </c>
      <c r="J36" s="199" t="s">
        <v>542</v>
      </c>
      <c r="K36" s="200">
        <v>1</v>
      </c>
      <c r="L36" s="200">
        <v>100</v>
      </c>
      <c r="M36" s="200">
        <v>1</v>
      </c>
      <c r="N36" s="199" t="s">
        <v>64</v>
      </c>
      <c r="O36" s="199" t="s">
        <v>288</v>
      </c>
      <c r="P36" s="212" t="s">
        <v>55</v>
      </c>
      <c r="Q36" s="199" t="s">
        <v>544</v>
      </c>
      <c r="R36" s="199" t="s">
        <v>233</v>
      </c>
      <c r="S36" s="201"/>
      <c r="T36" s="201"/>
      <c r="U36" s="200">
        <v>1</v>
      </c>
      <c r="V36" s="298">
        <v>62744.04</v>
      </c>
      <c r="W36" s="298">
        <f t="shared" si="1"/>
        <v>62744.04</v>
      </c>
      <c r="X36" s="202">
        <f t="shared" si="2"/>
        <v>39525.5721394055</v>
      </c>
      <c r="Y36" s="200">
        <f t="shared" si="3"/>
        <v>102269.61213940551</v>
      </c>
      <c r="Z36" s="203">
        <f t="shared" si="21"/>
        <v>223.2</v>
      </c>
      <c r="AA36" s="203">
        <f t="shared" si="17"/>
        <v>85.8</v>
      </c>
      <c r="AB36" s="203">
        <f t="shared" si="22"/>
        <v>16188</v>
      </c>
      <c r="AC36" s="203">
        <f t="shared" si="18"/>
        <v>1296.6719330855017</v>
      </c>
      <c r="AD36" s="203"/>
      <c r="AE36" s="203">
        <f t="shared" si="19"/>
        <v>1229.7831839999999</v>
      </c>
      <c r="AF36" s="203"/>
      <c r="AG36" s="203">
        <f t="shared" si="5"/>
        <v>909.78858000000002</v>
      </c>
      <c r="AH36" s="203">
        <f t="shared" si="6"/>
        <v>618.53074632000005</v>
      </c>
      <c r="AI36" s="203"/>
      <c r="AJ36" s="204">
        <f t="shared" si="20"/>
        <v>621.16599600000006</v>
      </c>
      <c r="AK36" s="203">
        <f t="shared" si="8"/>
        <v>31.372020000000003</v>
      </c>
      <c r="AL36" s="203"/>
      <c r="AM36" s="204">
        <f t="shared" si="23"/>
        <v>3890.1304799999998</v>
      </c>
      <c r="AN36" s="203">
        <f t="shared" si="24"/>
        <v>14431.129200000001</v>
      </c>
      <c r="AO36" s="217">
        <f t="shared" si="11"/>
        <v>1530.3424390243817</v>
      </c>
      <c r="AP36" s="217">
        <f t="shared" si="12"/>
        <v>0</v>
      </c>
    </row>
    <row r="37" spans="2:42" ht="13.5" hidden="1" thickBot="1">
      <c r="B37" s="199" t="s">
        <v>648</v>
      </c>
      <c r="C37" s="199" t="s">
        <v>478</v>
      </c>
      <c r="D37" s="199" t="s">
        <v>649</v>
      </c>
      <c r="E37" s="199" t="s">
        <v>650</v>
      </c>
      <c r="F37" s="199" t="s">
        <v>651</v>
      </c>
      <c r="G37" s="200">
        <v>7</v>
      </c>
      <c r="H37" s="197" t="str">
        <f t="shared" si="0"/>
        <v>C</v>
      </c>
      <c r="I37" s="199" t="s">
        <v>541</v>
      </c>
      <c r="J37" s="199" t="s">
        <v>542</v>
      </c>
      <c r="K37" s="200">
        <v>1</v>
      </c>
      <c r="L37" s="200">
        <v>100</v>
      </c>
      <c r="M37" s="200">
        <v>1</v>
      </c>
      <c r="N37" s="199" t="s">
        <v>64</v>
      </c>
      <c r="O37" s="199" t="s">
        <v>374</v>
      </c>
      <c r="P37" s="212" t="s">
        <v>60</v>
      </c>
      <c r="Q37" s="199" t="s">
        <v>544</v>
      </c>
      <c r="R37" s="199" t="s">
        <v>380</v>
      </c>
      <c r="S37" s="201"/>
      <c r="T37" s="201"/>
      <c r="U37" s="200">
        <v>1</v>
      </c>
      <c r="V37" s="298">
        <v>44405.64</v>
      </c>
      <c r="W37" s="298">
        <f t="shared" si="1"/>
        <v>44405.64</v>
      </c>
      <c r="X37" s="202">
        <f t="shared" si="2"/>
        <v>33173.920592205497</v>
      </c>
      <c r="Y37" s="200">
        <f t="shared" si="3"/>
        <v>77579.560592205497</v>
      </c>
      <c r="Z37" s="203">
        <f t="shared" si="21"/>
        <v>223.2</v>
      </c>
      <c r="AA37" s="203">
        <f t="shared" si="17"/>
        <v>85.8</v>
      </c>
      <c r="AB37" s="203">
        <f t="shared" si="22"/>
        <v>16188</v>
      </c>
      <c r="AC37" s="203">
        <f t="shared" si="18"/>
        <v>1296.6719330855017</v>
      </c>
      <c r="AD37" s="203"/>
      <c r="AE37" s="203">
        <f t="shared" si="19"/>
        <v>870.35054400000001</v>
      </c>
      <c r="AF37" s="203"/>
      <c r="AG37" s="203">
        <f t="shared" si="5"/>
        <v>643.88178000000005</v>
      </c>
      <c r="AH37" s="203">
        <f t="shared" si="6"/>
        <v>437.75079912000001</v>
      </c>
      <c r="AI37" s="203"/>
      <c r="AJ37" s="204">
        <f t="shared" si="20"/>
        <v>439.61583600000006</v>
      </c>
      <c r="AK37" s="203">
        <f t="shared" si="8"/>
        <v>22.202819999999999</v>
      </c>
      <c r="AL37" s="203"/>
      <c r="AM37" s="204">
        <f t="shared" si="23"/>
        <v>2753.14968</v>
      </c>
      <c r="AN37" s="203">
        <f t="shared" si="24"/>
        <v>10213.297200000001</v>
      </c>
      <c r="AO37" s="217">
        <f t="shared" si="11"/>
        <v>1083.0643902438969</v>
      </c>
      <c r="AP37" s="217">
        <f t="shared" si="12"/>
        <v>0</v>
      </c>
    </row>
    <row r="38" spans="2:42" ht="13.5" hidden="1" thickBot="1">
      <c r="B38" s="199" t="s">
        <v>652</v>
      </c>
      <c r="C38" s="199" t="s">
        <v>537</v>
      </c>
      <c r="D38" s="199" t="s">
        <v>653</v>
      </c>
      <c r="E38" s="199" t="s">
        <v>654</v>
      </c>
      <c r="F38" s="199" t="s">
        <v>540</v>
      </c>
      <c r="G38" s="200">
        <v>15</v>
      </c>
      <c r="H38" s="197" t="str">
        <f t="shared" ref="H38:H56" si="25">LEFT(I38,1)</f>
        <v>C</v>
      </c>
      <c r="I38" s="199" t="s">
        <v>541</v>
      </c>
      <c r="J38" s="199" t="s">
        <v>542</v>
      </c>
      <c r="K38" s="200">
        <v>1</v>
      </c>
      <c r="L38" s="200">
        <v>100</v>
      </c>
      <c r="M38" s="200">
        <v>1</v>
      </c>
      <c r="N38" s="199" t="s">
        <v>64</v>
      </c>
      <c r="O38" s="199" t="s">
        <v>302</v>
      </c>
      <c r="P38" s="212" t="s">
        <v>55</v>
      </c>
      <c r="Q38" s="199" t="s">
        <v>544</v>
      </c>
      <c r="R38" s="199" t="s">
        <v>233</v>
      </c>
      <c r="S38" s="201"/>
      <c r="T38" s="201"/>
      <c r="U38" s="200">
        <v>1</v>
      </c>
      <c r="V38" s="298">
        <v>62744.04</v>
      </c>
      <c r="W38" s="298">
        <f t="shared" ref="W38:W69" si="26">+V38*U38</f>
        <v>62744.04</v>
      </c>
      <c r="X38" s="202">
        <f t="shared" ref="X38:X69" si="27">SUM(Z38:AN38)</f>
        <v>39525.5721394055</v>
      </c>
      <c r="Y38" s="200">
        <f t="shared" ref="Y38:Y69" si="28">+W38+X38</f>
        <v>102269.61213940551</v>
      </c>
      <c r="Z38" s="203">
        <f t="shared" si="21"/>
        <v>223.2</v>
      </c>
      <c r="AA38" s="203">
        <f t="shared" si="17"/>
        <v>85.8</v>
      </c>
      <c r="AB38" s="203">
        <f t="shared" si="22"/>
        <v>16188</v>
      </c>
      <c r="AC38" s="203">
        <f t="shared" si="18"/>
        <v>1296.6719330855017</v>
      </c>
      <c r="AD38" s="203"/>
      <c r="AE38" s="203">
        <f t="shared" si="19"/>
        <v>1229.7831839999999</v>
      </c>
      <c r="AF38" s="203"/>
      <c r="AG38" s="203">
        <f t="shared" ref="AG38:AG69" si="29">+W38*$AG$4</f>
        <v>909.78858000000002</v>
      </c>
      <c r="AH38" s="203">
        <f t="shared" ref="AH38:AH69" si="30">+W38*$AH$4</f>
        <v>618.53074632000005</v>
      </c>
      <c r="AI38" s="203"/>
      <c r="AJ38" s="204">
        <f t="shared" si="20"/>
        <v>621.16599600000006</v>
      </c>
      <c r="AK38" s="203">
        <f t="shared" ref="AK38:AK69" si="31">+W38*$AK$4</f>
        <v>31.372020000000003</v>
      </c>
      <c r="AL38" s="203"/>
      <c r="AM38" s="204">
        <f t="shared" si="23"/>
        <v>3890.1304799999998</v>
      </c>
      <c r="AN38" s="203">
        <f t="shared" si="24"/>
        <v>14431.129200000001</v>
      </c>
      <c r="AO38" s="217">
        <f t="shared" ref="AO38:AO67" si="32">IF(H38="C",IF(G38&lt;15,W38-(W38/1.025),0),0)</f>
        <v>0</v>
      </c>
      <c r="AP38" s="217">
        <f t="shared" ref="AP38:AP67" si="33">IF(H38="M",IF(G38&lt;15,W38-(W38/1.025),0),0)</f>
        <v>0</v>
      </c>
    </row>
    <row r="39" spans="2:42" ht="13.5" hidden="1" thickBot="1">
      <c r="B39" s="199" t="s">
        <v>655</v>
      </c>
      <c r="C39" s="199" t="s">
        <v>537</v>
      </c>
      <c r="D39" s="199" t="s">
        <v>656</v>
      </c>
      <c r="E39" s="199" t="s">
        <v>657</v>
      </c>
      <c r="F39" s="199" t="s">
        <v>540</v>
      </c>
      <c r="G39" s="200">
        <v>8</v>
      </c>
      <c r="H39" s="197" t="str">
        <f t="shared" si="25"/>
        <v>C</v>
      </c>
      <c r="I39" s="199" t="s">
        <v>541</v>
      </c>
      <c r="J39" s="199" t="s">
        <v>542</v>
      </c>
      <c r="K39" s="200">
        <v>1</v>
      </c>
      <c r="L39" s="200">
        <v>100</v>
      </c>
      <c r="M39" s="200">
        <v>1</v>
      </c>
      <c r="N39" s="199" t="s">
        <v>64</v>
      </c>
      <c r="O39" s="199" t="s">
        <v>292</v>
      </c>
      <c r="P39" s="212" t="s">
        <v>55</v>
      </c>
      <c r="Q39" s="199" t="s">
        <v>544</v>
      </c>
      <c r="R39" s="199" t="s">
        <v>233</v>
      </c>
      <c r="S39" s="201"/>
      <c r="T39" s="201"/>
      <c r="U39" s="200">
        <v>1</v>
      </c>
      <c r="V39" s="298">
        <v>52784.4</v>
      </c>
      <c r="W39" s="298">
        <f t="shared" si="26"/>
        <v>52784.4</v>
      </c>
      <c r="X39" s="202">
        <f t="shared" si="27"/>
        <v>36075.971148285498</v>
      </c>
      <c r="Y39" s="200">
        <f t="shared" si="28"/>
        <v>88860.3711482855</v>
      </c>
      <c r="Z39" s="203">
        <f t="shared" si="21"/>
        <v>223.2</v>
      </c>
      <c r="AA39" s="203">
        <f t="shared" si="17"/>
        <v>85.8</v>
      </c>
      <c r="AB39" s="203">
        <f t="shared" si="22"/>
        <v>16188</v>
      </c>
      <c r="AC39" s="203">
        <f t="shared" si="18"/>
        <v>1296.6719330855017</v>
      </c>
      <c r="AD39" s="203"/>
      <c r="AE39" s="203">
        <f t="shared" si="19"/>
        <v>1034.5742399999999</v>
      </c>
      <c r="AF39" s="203"/>
      <c r="AG39" s="203">
        <f t="shared" si="29"/>
        <v>765.37380000000007</v>
      </c>
      <c r="AH39" s="203">
        <f t="shared" si="30"/>
        <v>520.34861520000004</v>
      </c>
      <c r="AI39" s="203"/>
      <c r="AJ39" s="204">
        <f t="shared" si="20"/>
        <v>522.56556</v>
      </c>
      <c r="AK39" s="203">
        <f t="shared" si="31"/>
        <v>26.392200000000003</v>
      </c>
      <c r="AL39" s="203"/>
      <c r="AM39" s="204">
        <f t="shared" si="23"/>
        <v>3272.6327999999999</v>
      </c>
      <c r="AN39" s="203">
        <f t="shared" si="24"/>
        <v>12140.412</v>
      </c>
      <c r="AO39" s="217">
        <f t="shared" si="32"/>
        <v>1287.4243902438975</v>
      </c>
      <c r="AP39" s="217">
        <f t="shared" si="33"/>
        <v>0</v>
      </c>
    </row>
    <row r="40" spans="2:42" ht="13.5" thickBot="1">
      <c r="B40" s="199" t="s">
        <v>437</v>
      </c>
      <c r="C40" s="199" t="s">
        <v>436</v>
      </c>
      <c r="D40" s="199" t="s">
        <v>658</v>
      </c>
      <c r="E40" s="199" t="s">
        <v>659</v>
      </c>
      <c r="F40" s="199" t="s">
        <v>630</v>
      </c>
      <c r="G40" s="200">
        <v>13</v>
      </c>
      <c r="H40" s="197" t="str">
        <f t="shared" si="25"/>
        <v>C</v>
      </c>
      <c r="I40" s="199" t="s">
        <v>541</v>
      </c>
      <c r="J40" s="199" t="s">
        <v>542</v>
      </c>
      <c r="K40" s="200">
        <v>1</v>
      </c>
      <c r="L40" s="200">
        <v>100</v>
      </c>
      <c r="M40" s="200">
        <v>1</v>
      </c>
      <c r="N40" s="199" t="s">
        <v>64</v>
      </c>
      <c r="O40" s="199" t="s">
        <v>328</v>
      </c>
      <c r="P40" s="212" t="s">
        <v>56</v>
      </c>
      <c r="Q40" s="199" t="s">
        <v>544</v>
      </c>
      <c r="R40" s="199" t="s">
        <v>323</v>
      </c>
      <c r="S40" s="201"/>
      <c r="T40" s="201"/>
      <c r="U40" s="200">
        <v>1</v>
      </c>
      <c r="V40" s="298">
        <v>100305.72</v>
      </c>
      <c r="W40" s="298">
        <f t="shared" si="26"/>
        <v>100305.72</v>
      </c>
      <c r="X40" s="202">
        <f t="shared" si="27"/>
        <v>52195.7338728455</v>
      </c>
      <c r="Y40" s="200">
        <f t="shared" si="28"/>
        <v>152501.45387284551</v>
      </c>
      <c r="Z40" s="203">
        <f t="shared" si="21"/>
        <v>223.2</v>
      </c>
      <c r="AA40" s="203">
        <f t="shared" si="17"/>
        <v>85.8</v>
      </c>
      <c r="AB40" s="203">
        <f t="shared" si="22"/>
        <v>16188</v>
      </c>
      <c r="AC40" s="203">
        <f t="shared" si="18"/>
        <v>1296.6719330855017</v>
      </c>
      <c r="AD40" s="203"/>
      <c r="AE40" s="203">
        <f t="shared" si="19"/>
        <v>1965.9921119999999</v>
      </c>
      <c r="AF40" s="203"/>
      <c r="AG40" s="203">
        <f t="shared" si="29"/>
        <v>1454.4329400000001</v>
      </c>
      <c r="AH40" s="203">
        <f t="shared" si="30"/>
        <v>988.81378776000008</v>
      </c>
      <c r="AI40" s="203"/>
      <c r="AJ40" s="204">
        <f t="shared" si="20"/>
        <v>653.40000000000009</v>
      </c>
      <c r="AK40" s="203">
        <f t="shared" si="31"/>
        <v>50.152860000000004</v>
      </c>
      <c r="AL40" s="203"/>
      <c r="AM40" s="204">
        <f t="shared" si="23"/>
        <v>6218.9546399999999</v>
      </c>
      <c r="AN40" s="203">
        <f t="shared" si="24"/>
        <v>23070.315600000002</v>
      </c>
      <c r="AO40" s="217">
        <f t="shared" si="32"/>
        <v>2446.4809756097529</v>
      </c>
      <c r="AP40" s="217">
        <f t="shared" si="33"/>
        <v>0</v>
      </c>
    </row>
    <row r="41" spans="2:42" ht="13.5" thickBot="1">
      <c r="B41" s="198" t="s">
        <v>438</v>
      </c>
      <c r="C41" s="198" t="s">
        <v>439</v>
      </c>
      <c r="D41" s="198" t="s">
        <v>660</v>
      </c>
      <c r="E41" s="198" t="s">
        <v>661</v>
      </c>
      <c r="F41" s="198" t="s">
        <v>662</v>
      </c>
      <c r="G41" s="197">
        <v>6</v>
      </c>
      <c r="H41" s="197" t="str">
        <f t="shared" si="25"/>
        <v>C</v>
      </c>
      <c r="I41" s="198" t="s">
        <v>541</v>
      </c>
      <c r="J41" s="198" t="s">
        <v>542</v>
      </c>
      <c r="K41" s="197">
        <v>1</v>
      </c>
      <c r="L41" s="197">
        <v>100</v>
      </c>
      <c r="M41" s="197">
        <v>1</v>
      </c>
      <c r="N41" s="198" t="s">
        <v>64</v>
      </c>
      <c r="O41" s="198" t="s">
        <v>333</v>
      </c>
      <c r="P41" s="212" t="s">
        <v>56</v>
      </c>
      <c r="Q41" s="198" t="s">
        <v>544</v>
      </c>
      <c r="R41" s="198" t="s">
        <v>323</v>
      </c>
      <c r="S41" s="205"/>
      <c r="T41" s="205"/>
      <c r="U41" s="197">
        <v>1</v>
      </c>
      <c r="V41" s="296">
        <v>82325.64</v>
      </c>
      <c r="W41" s="296">
        <f t="shared" si="26"/>
        <v>82325.64</v>
      </c>
      <c r="X41" s="206">
        <f t="shared" si="27"/>
        <v>46146.192116205508</v>
      </c>
      <c r="Y41" s="197">
        <f t="shared" si="28"/>
        <v>128471.83211620551</v>
      </c>
      <c r="Z41" s="207">
        <f t="shared" si="21"/>
        <v>223.2</v>
      </c>
      <c r="AA41" s="207">
        <f t="shared" si="17"/>
        <v>85.8</v>
      </c>
      <c r="AB41" s="207">
        <f t="shared" si="22"/>
        <v>16188</v>
      </c>
      <c r="AC41" s="207">
        <f t="shared" si="18"/>
        <v>1296.6719330855017</v>
      </c>
      <c r="AD41" s="207"/>
      <c r="AE41" s="207">
        <f t="shared" si="19"/>
        <v>1613.5825439999999</v>
      </c>
      <c r="AF41" s="207"/>
      <c r="AG41" s="207">
        <f t="shared" si="29"/>
        <v>1193.7217800000001</v>
      </c>
      <c r="AH41" s="207">
        <f t="shared" si="30"/>
        <v>811.56615912000007</v>
      </c>
      <c r="AI41" s="207"/>
      <c r="AJ41" s="204">
        <f t="shared" si="20"/>
        <v>653.40000000000009</v>
      </c>
      <c r="AK41" s="207">
        <f t="shared" si="31"/>
        <v>41.162820000000004</v>
      </c>
      <c r="AL41" s="207"/>
      <c r="AM41" s="204">
        <f t="shared" si="23"/>
        <v>5104.1896799999995</v>
      </c>
      <c r="AN41" s="207">
        <f t="shared" si="24"/>
        <v>18934.897199999999</v>
      </c>
      <c r="AO41" s="217">
        <f t="shared" si="32"/>
        <v>2007.9424390243803</v>
      </c>
      <c r="AP41" s="217">
        <f t="shared" si="33"/>
        <v>0</v>
      </c>
    </row>
    <row r="42" spans="2:42" ht="13.5" thickBot="1">
      <c r="B42" s="198" t="s">
        <v>440</v>
      </c>
      <c r="C42" s="198" t="s">
        <v>441</v>
      </c>
      <c r="D42" s="198" t="s">
        <v>663</v>
      </c>
      <c r="E42" s="198" t="s">
        <v>664</v>
      </c>
      <c r="F42" s="198" t="s">
        <v>630</v>
      </c>
      <c r="G42" s="197">
        <v>15</v>
      </c>
      <c r="H42" s="197" t="str">
        <f t="shared" si="25"/>
        <v>C</v>
      </c>
      <c r="I42" s="198" t="s">
        <v>541</v>
      </c>
      <c r="J42" s="198" t="s">
        <v>542</v>
      </c>
      <c r="K42" s="197">
        <v>1</v>
      </c>
      <c r="L42" s="197">
        <v>100</v>
      </c>
      <c r="M42" s="197">
        <v>1</v>
      </c>
      <c r="N42" s="198" t="s">
        <v>64</v>
      </c>
      <c r="O42" s="198" t="s">
        <v>324</v>
      </c>
      <c r="P42" s="212" t="s">
        <v>56</v>
      </c>
      <c r="Q42" s="198" t="s">
        <v>544</v>
      </c>
      <c r="R42" s="198" t="s">
        <v>323</v>
      </c>
      <c r="S42" s="205"/>
      <c r="T42" s="205"/>
      <c r="U42" s="197">
        <v>1</v>
      </c>
      <c r="V42" s="296">
        <v>105383.75</v>
      </c>
      <c r="W42" s="296">
        <f t="shared" si="26"/>
        <v>105383.75</v>
      </c>
      <c r="X42" s="206">
        <f t="shared" si="27"/>
        <v>53904.277690585499</v>
      </c>
      <c r="Y42" s="197">
        <f t="shared" si="28"/>
        <v>159288.0276905855</v>
      </c>
      <c r="Z42" s="207">
        <f t="shared" si="21"/>
        <v>223.2</v>
      </c>
      <c r="AA42" s="207">
        <f t="shared" si="17"/>
        <v>85.8</v>
      </c>
      <c r="AB42" s="207">
        <f t="shared" si="22"/>
        <v>16188</v>
      </c>
      <c r="AC42" s="207">
        <f t="shared" si="18"/>
        <v>1296.6719330855017</v>
      </c>
      <c r="AD42" s="207"/>
      <c r="AE42" s="207">
        <f t="shared" si="19"/>
        <v>2065.5214999999998</v>
      </c>
      <c r="AF42" s="207"/>
      <c r="AG42" s="207">
        <f t="shared" si="29"/>
        <v>1528.0643750000002</v>
      </c>
      <c r="AH42" s="207">
        <f t="shared" si="30"/>
        <v>1038.8730075000001</v>
      </c>
      <c r="AI42" s="207"/>
      <c r="AJ42" s="204">
        <f t="shared" si="20"/>
        <v>653.40000000000009</v>
      </c>
      <c r="AK42" s="207">
        <f t="shared" si="31"/>
        <v>52.691875000000003</v>
      </c>
      <c r="AL42" s="207"/>
      <c r="AM42" s="204">
        <f t="shared" si="23"/>
        <v>6533.7924999999996</v>
      </c>
      <c r="AN42" s="207">
        <f t="shared" si="24"/>
        <v>24238.262500000001</v>
      </c>
      <c r="AO42" s="217">
        <f t="shared" si="32"/>
        <v>0</v>
      </c>
      <c r="AP42" s="217">
        <f t="shared" si="33"/>
        <v>0</v>
      </c>
    </row>
    <row r="43" spans="2:42" ht="13.5" thickBot="1">
      <c r="B43" s="198" t="s">
        <v>443</v>
      </c>
      <c r="C43" s="198" t="s">
        <v>444</v>
      </c>
      <c r="D43" s="198" t="s">
        <v>665</v>
      </c>
      <c r="E43" s="198" t="s">
        <v>666</v>
      </c>
      <c r="F43" s="198" t="s">
        <v>624</v>
      </c>
      <c r="G43" s="197">
        <v>15</v>
      </c>
      <c r="H43" s="197" t="str">
        <f t="shared" si="25"/>
        <v>C</v>
      </c>
      <c r="I43" s="198" t="s">
        <v>541</v>
      </c>
      <c r="J43" s="198" t="s">
        <v>542</v>
      </c>
      <c r="K43" s="197">
        <v>1</v>
      </c>
      <c r="L43" s="197">
        <v>100</v>
      </c>
      <c r="M43" s="197">
        <v>1</v>
      </c>
      <c r="N43" s="198" t="s">
        <v>64</v>
      </c>
      <c r="O43" s="198" t="s">
        <v>333</v>
      </c>
      <c r="P43" s="212" t="s">
        <v>56</v>
      </c>
      <c r="Q43" s="198" t="s">
        <v>544</v>
      </c>
      <c r="R43" s="198" t="s">
        <v>323</v>
      </c>
      <c r="S43" s="205"/>
      <c r="T43" s="205"/>
      <c r="U43" s="197">
        <v>1</v>
      </c>
      <c r="V43" s="296">
        <v>119232.03</v>
      </c>
      <c r="W43" s="296">
        <f t="shared" si="26"/>
        <v>119232.03</v>
      </c>
      <c r="X43" s="206">
        <f t="shared" si="27"/>
        <v>58743.642282825502</v>
      </c>
      <c r="Y43" s="197">
        <f t="shared" si="28"/>
        <v>177975.67228282552</v>
      </c>
      <c r="Z43" s="207">
        <f t="shared" si="21"/>
        <v>223.2</v>
      </c>
      <c r="AA43" s="207">
        <f t="shared" si="17"/>
        <v>85.8</v>
      </c>
      <c r="AB43" s="207">
        <f t="shared" si="22"/>
        <v>16188</v>
      </c>
      <c r="AC43" s="207">
        <f t="shared" si="18"/>
        <v>1296.6719330855017</v>
      </c>
      <c r="AD43" s="207">
        <v>180</v>
      </c>
      <c r="AE43" s="207">
        <f t="shared" si="19"/>
        <v>2336.9477879999999</v>
      </c>
      <c r="AF43" s="207"/>
      <c r="AG43" s="207">
        <f t="shared" si="29"/>
        <v>1728.864435</v>
      </c>
      <c r="AH43" s="207">
        <f t="shared" si="30"/>
        <v>1175.3893517399999</v>
      </c>
      <c r="AI43" s="207"/>
      <c r="AJ43" s="204">
        <f t="shared" si="20"/>
        <v>653.40000000000009</v>
      </c>
      <c r="AK43" s="207">
        <f t="shared" si="31"/>
        <v>59.616014999999997</v>
      </c>
      <c r="AL43" s="207"/>
      <c r="AM43" s="204">
        <f t="shared" si="23"/>
        <v>7392.3858600000003</v>
      </c>
      <c r="AN43" s="207">
        <f t="shared" si="24"/>
        <v>27423.366900000001</v>
      </c>
      <c r="AO43" s="217">
        <f t="shared" si="32"/>
        <v>0</v>
      </c>
      <c r="AP43" s="217">
        <f t="shared" si="33"/>
        <v>0</v>
      </c>
    </row>
    <row r="44" spans="2:42" ht="13.5" thickBot="1">
      <c r="B44" s="198" t="s">
        <v>446</v>
      </c>
      <c r="C44" s="198" t="s">
        <v>447</v>
      </c>
      <c r="D44" s="198" t="s">
        <v>667</v>
      </c>
      <c r="E44" s="198" t="s">
        <v>668</v>
      </c>
      <c r="F44" s="198" t="s">
        <v>590</v>
      </c>
      <c r="G44" s="197">
        <v>15</v>
      </c>
      <c r="H44" s="197" t="str">
        <f t="shared" si="25"/>
        <v>C</v>
      </c>
      <c r="I44" s="198" t="s">
        <v>541</v>
      </c>
      <c r="J44" s="198" t="s">
        <v>542</v>
      </c>
      <c r="K44" s="197">
        <v>1</v>
      </c>
      <c r="L44" s="197">
        <v>100</v>
      </c>
      <c r="M44" s="197">
        <v>1</v>
      </c>
      <c r="N44" s="198" t="s">
        <v>64</v>
      </c>
      <c r="O44" s="198" t="s">
        <v>321</v>
      </c>
      <c r="P44" s="212" t="s">
        <v>56</v>
      </c>
      <c r="Q44" s="198" t="s">
        <v>544</v>
      </c>
      <c r="R44" s="198" t="s">
        <v>323</v>
      </c>
      <c r="S44" s="205"/>
      <c r="T44" s="205"/>
      <c r="U44" s="197">
        <v>1</v>
      </c>
      <c r="V44" s="296">
        <v>74582.880000000005</v>
      </c>
      <c r="W44" s="296">
        <f t="shared" si="26"/>
        <v>74582.880000000005</v>
      </c>
      <c r="X44" s="206">
        <f t="shared" si="27"/>
        <v>43541.078572125509</v>
      </c>
      <c r="Y44" s="197">
        <f t="shared" si="28"/>
        <v>118123.95857212551</v>
      </c>
      <c r="Z44" s="207">
        <f t="shared" si="21"/>
        <v>223.2</v>
      </c>
      <c r="AA44" s="207">
        <f t="shared" si="17"/>
        <v>85.8</v>
      </c>
      <c r="AB44" s="207">
        <f t="shared" si="22"/>
        <v>16188</v>
      </c>
      <c r="AC44" s="207">
        <f t="shared" si="18"/>
        <v>1296.6719330855017</v>
      </c>
      <c r="AD44" s="207"/>
      <c r="AE44" s="207">
        <f t="shared" si="19"/>
        <v>1461.8244480000001</v>
      </c>
      <c r="AF44" s="207"/>
      <c r="AG44" s="207">
        <f t="shared" si="29"/>
        <v>1081.4517600000001</v>
      </c>
      <c r="AH44" s="207">
        <f t="shared" si="30"/>
        <v>735.23803104000012</v>
      </c>
      <c r="AI44" s="207"/>
      <c r="AJ44" s="204">
        <f t="shared" si="20"/>
        <v>653.40000000000009</v>
      </c>
      <c r="AK44" s="207">
        <f t="shared" si="31"/>
        <v>37.291440000000001</v>
      </c>
      <c r="AL44" s="207"/>
      <c r="AM44" s="204">
        <f t="shared" si="23"/>
        <v>4624.1385600000003</v>
      </c>
      <c r="AN44" s="207">
        <f t="shared" si="24"/>
        <v>17154.062400000003</v>
      </c>
      <c r="AO44" s="217">
        <f t="shared" si="32"/>
        <v>0</v>
      </c>
      <c r="AP44" s="217">
        <f t="shared" si="33"/>
        <v>0</v>
      </c>
    </row>
    <row r="45" spans="2:42" ht="13.5" thickBot="1">
      <c r="B45" s="218" t="s">
        <v>448</v>
      </c>
      <c r="C45" s="218" t="s">
        <v>436</v>
      </c>
      <c r="D45" s="219"/>
      <c r="E45" s="350" t="s">
        <v>669</v>
      </c>
      <c r="F45" s="219"/>
      <c r="G45" s="220"/>
      <c r="H45" s="220" t="str">
        <f t="shared" si="25"/>
        <v>C</v>
      </c>
      <c r="I45" s="218" t="s">
        <v>541</v>
      </c>
      <c r="J45" s="218" t="s">
        <v>542</v>
      </c>
      <c r="K45" s="220">
        <v>1</v>
      </c>
      <c r="L45" s="219"/>
      <c r="M45" s="219"/>
      <c r="N45" s="218" t="s">
        <v>64</v>
      </c>
      <c r="O45" s="218" t="s">
        <v>328</v>
      </c>
      <c r="P45" s="212" t="s">
        <v>56</v>
      </c>
      <c r="Q45" s="218" t="s">
        <v>544</v>
      </c>
      <c r="R45" s="218" t="s">
        <v>323</v>
      </c>
      <c r="S45" s="219"/>
      <c r="T45" s="219"/>
      <c r="U45" s="220">
        <v>1</v>
      </c>
      <c r="V45" s="299">
        <f>6215.24*12</f>
        <v>74582.880000000005</v>
      </c>
      <c r="W45" s="299">
        <f t="shared" si="26"/>
        <v>74582.880000000005</v>
      </c>
      <c r="X45" s="221">
        <f t="shared" si="27"/>
        <v>43541.078572125509</v>
      </c>
      <c r="Y45" s="220">
        <f t="shared" si="28"/>
        <v>118123.95857212551</v>
      </c>
      <c r="Z45" s="222">
        <f t="shared" si="21"/>
        <v>223.2</v>
      </c>
      <c r="AA45" s="222">
        <f t="shared" si="17"/>
        <v>85.8</v>
      </c>
      <c r="AB45" s="222">
        <f t="shared" si="22"/>
        <v>16188</v>
      </c>
      <c r="AC45" s="222">
        <f t="shared" si="18"/>
        <v>1296.6719330855017</v>
      </c>
      <c r="AD45" s="222"/>
      <c r="AE45" s="222">
        <f t="shared" si="19"/>
        <v>1461.8244480000001</v>
      </c>
      <c r="AF45" s="222"/>
      <c r="AG45" s="222">
        <f t="shared" si="29"/>
        <v>1081.4517600000001</v>
      </c>
      <c r="AH45" s="222">
        <f t="shared" si="30"/>
        <v>735.23803104000012</v>
      </c>
      <c r="AI45" s="222"/>
      <c r="AJ45" s="223">
        <f t="shared" si="20"/>
        <v>653.40000000000009</v>
      </c>
      <c r="AK45" s="222">
        <f t="shared" si="31"/>
        <v>37.291440000000001</v>
      </c>
      <c r="AL45" s="222"/>
      <c r="AM45" s="223">
        <f t="shared" si="23"/>
        <v>4624.1385600000003</v>
      </c>
      <c r="AN45" s="222">
        <f t="shared" si="24"/>
        <v>17154.062400000003</v>
      </c>
      <c r="AO45" s="217">
        <f t="shared" si="32"/>
        <v>1819.0946341463423</v>
      </c>
      <c r="AP45" s="217">
        <f t="shared" si="33"/>
        <v>0</v>
      </c>
    </row>
    <row r="46" spans="2:42" ht="13.5" thickBot="1">
      <c r="B46" s="198" t="s">
        <v>449</v>
      </c>
      <c r="C46" s="198" t="s">
        <v>450</v>
      </c>
      <c r="D46" s="198" t="s">
        <v>670</v>
      </c>
      <c r="E46" s="198" t="s">
        <v>671</v>
      </c>
      <c r="F46" s="198" t="s">
        <v>672</v>
      </c>
      <c r="G46" s="197">
        <v>2</v>
      </c>
      <c r="H46" s="197" t="str">
        <f t="shared" si="25"/>
        <v>C</v>
      </c>
      <c r="I46" s="198" t="s">
        <v>541</v>
      </c>
      <c r="J46" s="198" t="s">
        <v>542</v>
      </c>
      <c r="K46" s="197">
        <v>1</v>
      </c>
      <c r="L46" s="197">
        <v>100</v>
      </c>
      <c r="M46" s="197">
        <v>1</v>
      </c>
      <c r="N46" s="198" t="s">
        <v>64</v>
      </c>
      <c r="O46" s="198" t="s">
        <v>333</v>
      </c>
      <c r="P46" s="212" t="s">
        <v>56</v>
      </c>
      <c r="Q46" s="198" t="s">
        <v>544</v>
      </c>
      <c r="R46" s="198" t="s">
        <v>323</v>
      </c>
      <c r="S46" s="205"/>
      <c r="T46" s="205"/>
      <c r="U46" s="197">
        <v>1</v>
      </c>
      <c r="V46" s="296">
        <v>80317.726800000004</v>
      </c>
      <c r="W46" s="296">
        <f t="shared" si="26"/>
        <v>80317.726800000004</v>
      </c>
      <c r="X46" s="206">
        <f t="shared" si="27"/>
        <v>45470.613656759902</v>
      </c>
      <c r="Y46" s="197">
        <f t="shared" si="28"/>
        <v>125788.34045675991</v>
      </c>
      <c r="Z46" s="207">
        <f t="shared" si="21"/>
        <v>223.2</v>
      </c>
      <c r="AA46" s="207">
        <f t="shared" si="17"/>
        <v>85.8</v>
      </c>
      <c r="AB46" s="207">
        <f t="shared" si="22"/>
        <v>16188</v>
      </c>
      <c r="AC46" s="207">
        <f t="shared" si="18"/>
        <v>1296.6719330855017</v>
      </c>
      <c r="AD46" s="207"/>
      <c r="AE46" s="207">
        <f t="shared" si="19"/>
        <v>1574.22744528</v>
      </c>
      <c r="AF46" s="207"/>
      <c r="AG46" s="207">
        <f t="shared" si="29"/>
        <v>1164.6070386000001</v>
      </c>
      <c r="AH46" s="207">
        <f t="shared" si="30"/>
        <v>791.77215079440009</v>
      </c>
      <c r="AI46" s="207"/>
      <c r="AJ46" s="204">
        <f t="shared" si="20"/>
        <v>653.40000000000009</v>
      </c>
      <c r="AK46" s="207">
        <f t="shared" si="31"/>
        <v>40.158863400000001</v>
      </c>
      <c r="AL46" s="207"/>
      <c r="AM46" s="204">
        <f t="shared" si="23"/>
        <v>4979.6990616000003</v>
      </c>
      <c r="AN46" s="207">
        <f t="shared" si="24"/>
        <v>18473.077164000002</v>
      </c>
      <c r="AO46" s="217">
        <f t="shared" si="32"/>
        <v>1958.9689463414543</v>
      </c>
      <c r="AP46" s="217">
        <f t="shared" si="33"/>
        <v>0</v>
      </c>
    </row>
    <row r="47" spans="2:42" ht="13.5" thickBot="1">
      <c r="B47" s="199" t="s">
        <v>451</v>
      </c>
      <c r="C47" s="199" t="s">
        <v>434</v>
      </c>
      <c r="D47" s="199" t="s">
        <v>673</v>
      </c>
      <c r="E47" s="199" t="s">
        <v>674</v>
      </c>
      <c r="F47" s="199" t="s">
        <v>627</v>
      </c>
      <c r="G47" s="200">
        <v>14</v>
      </c>
      <c r="H47" s="197" t="str">
        <f t="shared" si="25"/>
        <v>C</v>
      </c>
      <c r="I47" s="199" t="s">
        <v>541</v>
      </c>
      <c r="J47" s="199" t="s">
        <v>542</v>
      </c>
      <c r="K47" s="200">
        <v>1</v>
      </c>
      <c r="L47" s="200">
        <v>100</v>
      </c>
      <c r="M47" s="200">
        <v>1</v>
      </c>
      <c r="N47" s="199" t="s">
        <v>64</v>
      </c>
      <c r="O47" s="199" t="s">
        <v>328</v>
      </c>
      <c r="P47" s="212" t="s">
        <v>56</v>
      </c>
      <c r="Q47" s="199" t="s">
        <v>544</v>
      </c>
      <c r="R47" s="199" t="s">
        <v>323</v>
      </c>
      <c r="S47" s="201"/>
      <c r="T47" s="201"/>
      <c r="U47" s="200">
        <v>1</v>
      </c>
      <c r="V47" s="298">
        <v>110718.84</v>
      </c>
      <c r="W47" s="298">
        <f t="shared" si="26"/>
        <v>110718.84</v>
      </c>
      <c r="X47" s="202">
        <f t="shared" si="27"/>
        <v>55699.311401805506</v>
      </c>
      <c r="Y47" s="200">
        <f t="shared" si="28"/>
        <v>166418.15140180552</v>
      </c>
      <c r="Z47" s="203">
        <f t="shared" si="21"/>
        <v>223.2</v>
      </c>
      <c r="AA47" s="203">
        <f t="shared" si="17"/>
        <v>85.8</v>
      </c>
      <c r="AB47" s="203">
        <f t="shared" si="22"/>
        <v>16188</v>
      </c>
      <c r="AC47" s="203">
        <f t="shared" si="18"/>
        <v>1296.6719330855017</v>
      </c>
      <c r="AD47" s="203"/>
      <c r="AE47" s="203">
        <f t="shared" si="19"/>
        <v>2170.0892639999997</v>
      </c>
      <c r="AF47" s="203"/>
      <c r="AG47" s="203">
        <f t="shared" si="29"/>
        <v>1605.42318</v>
      </c>
      <c r="AH47" s="203">
        <f t="shared" si="30"/>
        <v>1091.4663247200001</v>
      </c>
      <c r="AI47" s="203"/>
      <c r="AJ47" s="204">
        <f t="shared" si="20"/>
        <v>653.40000000000009</v>
      </c>
      <c r="AK47" s="203">
        <f t="shared" si="31"/>
        <v>55.35942</v>
      </c>
      <c r="AL47" s="203"/>
      <c r="AM47" s="204">
        <f t="shared" si="23"/>
        <v>6864.56808</v>
      </c>
      <c r="AN47" s="203">
        <f t="shared" si="24"/>
        <v>25465.333200000001</v>
      </c>
      <c r="AO47" s="217">
        <f t="shared" si="32"/>
        <v>2700.4595121951133</v>
      </c>
      <c r="AP47" s="217">
        <f t="shared" si="33"/>
        <v>0</v>
      </c>
    </row>
    <row r="48" spans="2:42" ht="13.5" thickBot="1">
      <c r="B48" s="199" t="s">
        <v>452</v>
      </c>
      <c r="C48" s="199" t="s">
        <v>453</v>
      </c>
      <c r="D48" s="199" t="s">
        <v>675</v>
      </c>
      <c r="E48" s="199" t="s">
        <v>676</v>
      </c>
      <c r="F48" s="199" t="s">
        <v>624</v>
      </c>
      <c r="G48" s="200">
        <v>15</v>
      </c>
      <c r="H48" s="197" t="str">
        <f t="shared" si="25"/>
        <v>C</v>
      </c>
      <c r="I48" s="199" t="s">
        <v>541</v>
      </c>
      <c r="J48" s="199" t="s">
        <v>542</v>
      </c>
      <c r="K48" s="200">
        <v>1</v>
      </c>
      <c r="L48" s="200">
        <v>100</v>
      </c>
      <c r="M48" s="200">
        <v>1</v>
      </c>
      <c r="N48" s="199" t="s">
        <v>64</v>
      </c>
      <c r="O48" s="199" t="s">
        <v>328</v>
      </c>
      <c r="P48" s="212" t="s">
        <v>56</v>
      </c>
      <c r="Q48" s="199" t="s">
        <v>544</v>
      </c>
      <c r="R48" s="199" t="s">
        <v>323</v>
      </c>
      <c r="S48" s="201"/>
      <c r="T48" s="201"/>
      <c r="U48" s="200">
        <v>1</v>
      </c>
      <c r="V48" s="298">
        <v>119232</v>
      </c>
      <c r="W48" s="298">
        <f t="shared" si="26"/>
        <v>119232</v>
      </c>
      <c r="X48" s="202">
        <f t="shared" si="27"/>
        <v>58743.632189085503</v>
      </c>
      <c r="Y48" s="200">
        <f t="shared" si="28"/>
        <v>177975.6321890855</v>
      </c>
      <c r="Z48" s="203">
        <f t="shared" si="21"/>
        <v>223.2</v>
      </c>
      <c r="AA48" s="203">
        <f t="shared" si="17"/>
        <v>85.8</v>
      </c>
      <c r="AB48" s="203">
        <f t="shared" si="22"/>
        <v>16188</v>
      </c>
      <c r="AC48" s="203">
        <f t="shared" si="18"/>
        <v>1296.6719330855017</v>
      </c>
      <c r="AD48" s="203">
        <v>180</v>
      </c>
      <c r="AE48" s="203">
        <f t="shared" si="19"/>
        <v>2336.9472000000001</v>
      </c>
      <c r="AF48" s="203"/>
      <c r="AG48" s="203">
        <f t="shared" si="29"/>
        <v>1728.864</v>
      </c>
      <c r="AH48" s="203">
        <f t="shared" si="30"/>
        <v>1175.389056</v>
      </c>
      <c r="AI48" s="203"/>
      <c r="AJ48" s="204">
        <f t="shared" si="20"/>
        <v>653.40000000000009</v>
      </c>
      <c r="AK48" s="203">
        <f t="shared" si="31"/>
        <v>59.616</v>
      </c>
      <c r="AL48" s="203"/>
      <c r="AM48" s="204">
        <f t="shared" si="23"/>
        <v>7392.384</v>
      </c>
      <c r="AN48" s="203">
        <f t="shared" si="24"/>
        <v>27423.360000000001</v>
      </c>
      <c r="AO48" s="217">
        <f t="shared" si="32"/>
        <v>0</v>
      </c>
      <c r="AP48" s="217">
        <f t="shared" si="33"/>
        <v>0</v>
      </c>
    </row>
    <row r="49" spans="2:42" ht="13.5" hidden="1" thickBot="1">
      <c r="B49" s="199" t="s">
        <v>677</v>
      </c>
      <c r="C49" s="199" t="s">
        <v>678</v>
      </c>
      <c r="D49" s="199" t="s">
        <v>679</v>
      </c>
      <c r="E49" s="199" t="s">
        <v>680</v>
      </c>
      <c r="F49" s="199" t="s">
        <v>553</v>
      </c>
      <c r="G49" s="200">
        <v>15</v>
      </c>
      <c r="H49" s="197" t="str">
        <f t="shared" si="25"/>
        <v>C</v>
      </c>
      <c r="I49" s="199" t="s">
        <v>541</v>
      </c>
      <c r="J49" s="199" t="s">
        <v>542</v>
      </c>
      <c r="K49" s="200">
        <v>1</v>
      </c>
      <c r="L49" s="200">
        <v>100</v>
      </c>
      <c r="M49" s="200">
        <v>1</v>
      </c>
      <c r="N49" s="199" t="s">
        <v>64</v>
      </c>
      <c r="O49" s="199" t="s">
        <v>369</v>
      </c>
      <c r="P49" s="212" t="s">
        <v>57</v>
      </c>
      <c r="Q49" s="199" t="s">
        <v>544</v>
      </c>
      <c r="R49" s="199" t="s">
        <v>345</v>
      </c>
      <c r="S49" s="201"/>
      <c r="T49" s="201"/>
      <c r="U49" s="200">
        <v>1</v>
      </c>
      <c r="V49" s="298">
        <v>67568.399999999994</v>
      </c>
      <c r="W49" s="298">
        <f t="shared" si="26"/>
        <v>67568.399999999994</v>
      </c>
      <c r="X49" s="202">
        <f t="shared" si="27"/>
        <v>41181.000660285499</v>
      </c>
      <c r="Y49" s="200">
        <f t="shared" si="28"/>
        <v>108749.40066028549</v>
      </c>
      <c r="Z49" s="203">
        <f t="shared" si="21"/>
        <v>223.2</v>
      </c>
      <c r="AA49" s="203">
        <f t="shared" si="17"/>
        <v>85.8</v>
      </c>
      <c r="AB49" s="203">
        <f t="shared" si="22"/>
        <v>16188</v>
      </c>
      <c r="AC49" s="203">
        <f t="shared" si="18"/>
        <v>1296.6719330855017</v>
      </c>
      <c r="AD49" s="203"/>
      <c r="AE49" s="203">
        <f t="shared" si="19"/>
        <v>1324.3406399999999</v>
      </c>
      <c r="AF49" s="203"/>
      <c r="AG49" s="203">
        <f t="shared" si="29"/>
        <v>979.74180000000001</v>
      </c>
      <c r="AH49" s="203">
        <f t="shared" si="30"/>
        <v>666.08928719999994</v>
      </c>
      <c r="AI49" s="203"/>
      <c r="AJ49" s="204">
        <f t="shared" si="20"/>
        <v>653.40000000000009</v>
      </c>
      <c r="AK49" s="203">
        <f t="shared" si="31"/>
        <v>33.784199999999998</v>
      </c>
      <c r="AL49" s="203"/>
      <c r="AM49" s="204">
        <f t="shared" si="23"/>
        <v>4189.2407999999996</v>
      </c>
      <c r="AN49" s="203">
        <f t="shared" si="24"/>
        <v>15540.732</v>
      </c>
      <c r="AO49" s="217">
        <f t="shared" si="32"/>
        <v>0</v>
      </c>
      <c r="AP49" s="217">
        <f t="shared" si="33"/>
        <v>0</v>
      </c>
    </row>
    <row r="50" spans="2:42" ht="13.5" hidden="1" thickBot="1">
      <c r="B50" s="199" t="s">
        <v>681</v>
      </c>
      <c r="C50" s="199" t="s">
        <v>678</v>
      </c>
      <c r="D50" s="199" t="s">
        <v>682</v>
      </c>
      <c r="E50" s="199" t="s">
        <v>683</v>
      </c>
      <c r="F50" s="199" t="s">
        <v>553</v>
      </c>
      <c r="G50" s="200">
        <v>7</v>
      </c>
      <c r="H50" s="197" t="str">
        <f t="shared" si="25"/>
        <v>C</v>
      </c>
      <c r="I50" s="199" t="s">
        <v>541</v>
      </c>
      <c r="J50" s="199" t="s">
        <v>542</v>
      </c>
      <c r="K50" s="200">
        <v>1</v>
      </c>
      <c r="L50" s="200">
        <v>100</v>
      </c>
      <c r="M50" s="200">
        <v>1</v>
      </c>
      <c r="N50" s="199" t="s">
        <v>64</v>
      </c>
      <c r="O50" s="199" t="s">
        <v>367</v>
      </c>
      <c r="P50" s="212" t="s">
        <v>57</v>
      </c>
      <c r="Q50" s="199" t="s">
        <v>544</v>
      </c>
      <c r="R50" s="199" t="s">
        <v>345</v>
      </c>
      <c r="S50" s="201"/>
      <c r="T50" s="201"/>
      <c r="U50" s="200">
        <v>1</v>
      </c>
      <c r="V50" s="298">
        <v>55456.56</v>
      </c>
      <c r="W50" s="298">
        <f t="shared" si="26"/>
        <v>55456.56</v>
      </c>
      <c r="X50" s="202">
        <f t="shared" si="27"/>
        <v>37001.495141565494</v>
      </c>
      <c r="Y50" s="200">
        <f t="shared" si="28"/>
        <v>92458.055141565492</v>
      </c>
      <c r="Z50" s="203">
        <f t="shared" si="21"/>
        <v>223.2</v>
      </c>
      <c r="AA50" s="203">
        <f t="shared" si="17"/>
        <v>85.8</v>
      </c>
      <c r="AB50" s="203">
        <f t="shared" si="22"/>
        <v>16188</v>
      </c>
      <c r="AC50" s="203">
        <f t="shared" si="18"/>
        <v>1296.6719330855017</v>
      </c>
      <c r="AD50" s="203"/>
      <c r="AE50" s="203">
        <f t="shared" si="19"/>
        <v>1086.948576</v>
      </c>
      <c r="AF50" s="203"/>
      <c r="AG50" s="203">
        <f t="shared" si="29"/>
        <v>804.12012000000004</v>
      </c>
      <c r="AH50" s="203">
        <f t="shared" si="30"/>
        <v>546.69076847999997</v>
      </c>
      <c r="AI50" s="203"/>
      <c r="AJ50" s="204">
        <f t="shared" si="20"/>
        <v>549.01994400000001</v>
      </c>
      <c r="AK50" s="203">
        <f t="shared" si="31"/>
        <v>27.728279999999998</v>
      </c>
      <c r="AL50" s="203"/>
      <c r="AM50" s="204">
        <f t="shared" si="23"/>
        <v>3438.30672</v>
      </c>
      <c r="AN50" s="203">
        <f t="shared" si="24"/>
        <v>12755.0088</v>
      </c>
      <c r="AO50" s="217">
        <f t="shared" si="32"/>
        <v>1352.5990243902415</v>
      </c>
      <c r="AP50" s="217">
        <f t="shared" si="33"/>
        <v>0</v>
      </c>
    </row>
    <row r="51" spans="2:42" ht="13.5" hidden="1" thickBot="1">
      <c r="B51" s="224" t="s">
        <v>684</v>
      </c>
      <c r="C51" s="224" t="s">
        <v>537</v>
      </c>
      <c r="D51" s="224" t="s">
        <v>685</v>
      </c>
      <c r="E51" s="224" t="s">
        <v>686</v>
      </c>
      <c r="F51" s="224" t="s">
        <v>540</v>
      </c>
      <c r="G51" s="225">
        <v>15</v>
      </c>
      <c r="H51" s="225" t="str">
        <f t="shared" si="25"/>
        <v>C</v>
      </c>
      <c r="I51" s="224" t="s">
        <v>541</v>
      </c>
      <c r="J51" s="224" t="s">
        <v>542</v>
      </c>
      <c r="K51" s="225">
        <v>1</v>
      </c>
      <c r="L51" s="225">
        <v>100</v>
      </c>
      <c r="M51" s="225">
        <v>1</v>
      </c>
      <c r="N51" s="224" t="s">
        <v>64</v>
      </c>
      <c r="O51" s="224" t="s">
        <v>296</v>
      </c>
      <c r="P51" s="212" t="s">
        <v>55</v>
      </c>
      <c r="Q51" s="224" t="s">
        <v>544</v>
      </c>
      <c r="R51" s="224" t="s">
        <v>233</v>
      </c>
      <c r="S51" s="226"/>
      <c r="T51" s="226"/>
      <c r="U51" s="225">
        <v>1</v>
      </c>
      <c r="V51" s="300">
        <v>62744.044899999957</v>
      </c>
      <c r="W51" s="300">
        <f t="shared" si="26"/>
        <v>62744.044899999957</v>
      </c>
      <c r="X51" s="227">
        <f t="shared" si="27"/>
        <v>39525.573836559684</v>
      </c>
      <c r="Y51" s="225">
        <f t="shared" si="28"/>
        <v>102269.61873655964</v>
      </c>
      <c r="Z51" s="228">
        <f t="shared" si="21"/>
        <v>223.2</v>
      </c>
      <c r="AA51" s="228">
        <f t="shared" si="17"/>
        <v>85.8</v>
      </c>
      <c r="AB51" s="228">
        <f t="shared" si="22"/>
        <v>16188</v>
      </c>
      <c r="AC51" s="228">
        <f t="shared" si="18"/>
        <v>1296.6719330855017</v>
      </c>
      <c r="AD51" s="228"/>
      <c r="AE51" s="228">
        <f t="shared" si="19"/>
        <v>1229.7832800399992</v>
      </c>
      <c r="AF51" s="228"/>
      <c r="AG51" s="228">
        <f t="shared" si="29"/>
        <v>909.78865104999943</v>
      </c>
      <c r="AH51" s="228">
        <f t="shared" si="30"/>
        <v>618.53079462419964</v>
      </c>
      <c r="AI51" s="228"/>
      <c r="AJ51" s="229">
        <f t="shared" si="20"/>
        <v>621.16604450999967</v>
      </c>
      <c r="AK51" s="228">
        <f t="shared" si="31"/>
        <v>31.372022449999978</v>
      </c>
      <c r="AL51" s="228"/>
      <c r="AM51" s="229">
        <f t="shared" si="23"/>
        <v>3890.1307837999975</v>
      </c>
      <c r="AN51" s="228">
        <f t="shared" si="24"/>
        <v>14431.130326999992</v>
      </c>
      <c r="AO51" s="217">
        <f t="shared" si="32"/>
        <v>0</v>
      </c>
      <c r="AP51" s="217">
        <f t="shared" si="33"/>
        <v>0</v>
      </c>
    </row>
    <row r="52" spans="2:42" ht="13.5" hidden="1" thickBot="1">
      <c r="B52" s="199" t="s">
        <v>687</v>
      </c>
      <c r="C52" s="199" t="s">
        <v>537</v>
      </c>
      <c r="D52" s="199" t="s">
        <v>688</v>
      </c>
      <c r="E52" s="199" t="s">
        <v>689</v>
      </c>
      <c r="F52" s="199" t="s">
        <v>540</v>
      </c>
      <c r="G52" s="200">
        <v>4</v>
      </c>
      <c r="H52" s="197" t="str">
        <f t="shared" si="25"/>
        <v>C</v>
      </c>
      <c r="I52" s="199" t="s">
        <v>541</v>
      </c>
      <c r="J52" s="199" t="s">
        <v>542</v>
      </c>
      <c r="K52" s="200">
        <v>1</v>
      </c>
      <c r="L52" s="200">
        <v>100</v>
      </c>
      <c r="M52" s="200">
        <v>1</v>
      </c>
      <c r="N52" s="199" t="s">
        <v>64</v>
      </c>
      <c r="O52" s="199" t="s">
        <v>302</v>
      </c>
      <c r="P52" s="212" t="s">
        <v>55</v>
      </c>
      <c r="Q52" s="199" t="s">
        <v>544</v>
      </c>
      <c r="R52" s="199" t="s">
        <v>233</v>
      </c>
      <c r="S52" s="201"/>
      <c r="T52" s="201"/>
      <c r="U52" s="200">
        <v>1</v>
      </c>
      <c r="V52" s="298">
        <v>47820</v>
      </c>
      <c r="W52" s="298">
        <f t="shared" si="26"/>
        <v>47820</v>
      </c>
      <c r="X52" s="202">
        <f t="shared" si="27"/>
        <v>34356.511493085505</v>
      </c>
      <c r="Y52" s="200">
        <f t="shared" si="28"/>
        <v>82176.511493085505</v>
      </c>
      <c r="Z52" s="203">
        <f t="shared" si="21"/>
        <v>223.2</v>
      </c>
      <c r="AA52" s="203">
        <f t="shared" ref="AA52:AA85" si="34">+$AA$4*U52</f>
        <v>85.8</v>
      </c>
      <c r="AB52" s="203">
        <f t="shared" si="22"/>
        <v>16188</v>
      </c>
      <c r="AC52" s="203">
        <f t="shared" ref="AC52:AC85" si="35">+$AC$4*U52</f>
        <v>1296.6719330855017</v>
      </c>
      <c r="AD52" s="203"/>
      <c r="AE52" s="203">
        <f t="shared" ref="AE52:AE85" si="36">+W52*$AE$4</f>
        <v>937.27199999999993</v>
      </c>
      <c r="AF52" s="203"/>
      <c r="AG52" s="203">
        <f t="shared" si="29"/>
        <v>693.39</v>
      </c>
      <c r="AH52" s="203">
        <f t="shared" si="30"/>
        <v>471.40956</v>
      </c>
      <c r="AI52" s="203"/>
      <c r="AJ52" s="204">
        <f t="shared" ref="AJ52:AJ85" si="37">SUM(IF(V52&gt;65999,((66000*$AJ$4)*U52),(IF(V52&lt;66000,($AJ$4*(W52))))))</f>
        <v>473.41800000000006</v>
      </c>
      <c r="AK52" s="203">
        <f t="shared" si="31"/>
        <v>23.91</v>
      </c>
      <c r="AL52" s="203"/>
      <c r="AM52" s="204">
        <f t="shared" si="23"/>
        <v>2964.84</v>
      </c>
      <c r="AN52" s="203">
        <f t="shared" si="24"/>
        <v>10998.6</v>
      </c>
      <c r="AO52" s="217">
        <f t="shared" si="32"/>
        <v>1166.341463414632</v>
      </c>
      <c r="AP52" s="217">
        <f t="shared" si="33"/>
        <v>0</v>
      </c>
    </row>
    <row r="53" spans="2:42" ht="13.5" hidden="1" thickBot="1">
      <c r="B53" s="198" t="s">
        <v>690</v>
      </c>
      <c r="C53" s="198" t="s">
        <v>691</v>
      </c>
      <c r="D53" s="198" t="s">
        <v>692</v>
      </c>
      <c r="E53" s="198" t="s">
        <v>693</v>
      </c>
      <c r="F53" s="198" t="s">
        <v>694</v>
      </c>
      <c r="G53" s="197">
        <v>5</v>
      </c>
      <c r="H53" s="197" t="str">
        <f t="shared" si="25"/>
        <v>C</v>
      </c>
      <c r="I53" s="198" t="s">
        <v>541</v>
      </c>
      <c r="J53" s="198" t="s">
        <v>542</v>
      </c>
      <c r="K53" s="197">
        <v>1</v>
      </c>
      <c r="L53" s="197">
        <v>100</v>
      </c>
      <c r="M53" s="197">
        <v>1</v>
      </c>
      <c r="N53" s="198" t="s">
        <v>64</v>
      </c>
      <c r="O53" s="198" t="s">
        <v>172</v>
      </c>
      <c r="P53" s="212" t="s">
        <v>53</v>
      </c>
      <c r="Q53" s="198" t="s">
        <v>544</v>
      </c>
      <c r="R53" s="198" t="s">
        <v>175</v>
      </c>
      <c r="S53" s="205"/>
      <c r="T53" s="205"/>
      <c r="U53" s="197">
        <v>1</v>
      </c>
      <c r="V53" s="296">
        <v>76447.570000000007</v>
      </c>
      <c r="W53" s="296">
        <f t="shared" si="26"/>
        <v>76447.570000000007</v>
      </c>
      <c r="X53" s="206">
        <f t="shared" si="27"/>
        <v>44168.468440145502</v>
      </c>
      <c r="Y53" s="197">
        <f t="shared" si="28"/>
        <v>120616.03844014551</v>
      </c>
      <c r="Z53" s="207">
        <f t="shared" si="21"/>
        <v>223.2</v>
      </c>
      <c r="AA53" s="207">
        <f t="shared" si="34"/>
        <v>85.8</v>
      </c>
      <c r="AB53" s="207">
        <f t="shared" si="22"/>
        <v>16188</v>
      </c>
      <c r="AC53" s="207">
        <f t="shared" si="35"/>
        <v>1296.6719330855017</v>
      </c>
      <c r="AD53" s="207"/>
      <c r="AE53" s="207">
        <f t="shared" si="36"/>
        <v>1498.372372</v>
      </c>
      <c r="AF53" s="207"/>
      <c r="AG53" s="207">
        <f t="shared" si="29"/>
        <v>1108.4897650000003</v>
      </c>
      <c r="AH53" s="207">
        <f t="shared" si="30"/>
        <v>753.62014506000014</v>
      </c>
      <c r="AI53" s="207"/>
      <c r="AJ53" s="204">
        <f t="shared" si="37"/>
        <v>653.40000000000009</v>
      </c>
      <c r="AK53" s="207">
        <f t="shared" si="31"/>
        <v>38.223785000000007</v>
      </c>
      <c r="AL53" s="207"/>
      <c r="AM53" s="204">
        <f t="shared" si="23"/>
        <v>4739.7493400000003</v>
      </c>
      <c r="AN53" s="207">
        <f t="shared" si="24"/>
        <v>17582.941100000004</v>
      </c>
      <c r="AO53" s="217">
        <f t="shared" si="32"/>
        <v>1864.5748780487775</v>
      </c>
      <c r="AP53" s="217">
        <f t="shared" si="33"/>
        <v>0</v>
      </c>
    </row>
    <row r="54" spans="2:42" ht="13.5" thickBot="1">
      <c r="B54" s="199" t="s">
        <v>454</v>
      </c>
      <c r="C54" s="199" t="s">
        <v>436</v>
      </c>
      <c r="D54" s="199" t="s">
        <v>695</v>
      </c>
      <c r="E54" s="199" t="s">
        <v>696</v>
      </c>
      <c r="F54" s="199" t="s">
        <v>630</v>
      </c>
      <c r="G54" s="200">
        <v>9</v>
      </c>
      <c r="H54" s="197" t="str">
        <f t="shared" si="25"/>
        <v>C</v>
      </c>
      <c r="I54" s="199" t="s">
        <v>541</v>
      </c>
      <c r="J54" s="199" t="s">
        <v>542</v>
      </c>
      <c r="K54" s="200">
        <v>1</v>
      </c>
      <c r="L54" s="200">
        <v>100</v>
      </c>
      <c r="M54" s="200">
        <v>1</v>
      </c>
      <c r="N54" s="199" t="s">
        <v>64</v>
      </c>
      <c r="O54" s="199" t="s">
        <v>328</v>
      </c>
      <c r="P54" s="212" t="s">
        <v>56</v>
      </c>
      <c r="Q54" s="199" t="s">
        <v>544</v>
      </c>
      <c r="R54" s="199" t="s">
        <v>323</v>
      </c>
      <c r="S54" s="201"/>
      <c r="T54" s="201"/>
      <c r="U54" s="200">
        <v>1</v>
      </c>
      <c r="V54" s="298">
        <v>90872.04</v>
      </c>
      <c r="W54" s="298">
        <f t="shared" si="26"/>
        <v>90872.04</v>
      </c>
      <c r="X54" s="202">
        <f t="shared" si="27"/>
        <v>49021.696767405498</v>
      </c>
      <c r="Y54" s="200">
        <f t="shared" si="28"/>
        <v>139893.7367674055</v>
      </c>
      <c r="Z54" s="203">
        <f t="shared" si="21"/>
        <v>223.2</v>
      </c>
      <c r="AA54" s="203">
        <f t="shared" si="34"/>
        <v>85.8</v>
      </c>
      <c r="AB54" s="203">
        <f t="shared" si="22"/>
        <v>16188</v>
      </c>
      <c r="AC54" s="203">
        <f t="shared" si="35"/>
        <v>1296.6719330855017</v>
      </c>
      <c r="AD54" s="203"/>
      <c r="AE54" s="203">
        <f t="shared" si="36"/>
        <v>1781.0919839999999</v>
      </c>
      <c r="AF54" s="203"/>
      <c r="AG54" s="203">
        <f t="shared" si="29"/>
        <v>1317.6445799999999</v>
      </c>
      <c r="AH54" s="203">
        <f t="shared" si="30"/>
        <v>895.81657031999998</v>
      </c>
      <c r="AI54" s="203"/>
      <c r="AJ54" s="204">
        <f t="shared" si="37"/>
        <v>653.40000000000009</v>
      </c>
      <c r="AK54" s="203">
        <f t="shared" si="31"/>
        <v>45.436019999999999</v>
      </c>
      <c r="AL54" s="203"/>
      <c r="AM54" s="204">
        <f t="shared" si="23"/>
        <v>5634.0664799999995</v>
      </c>
      <c r="AN54" s="203">
        <f t="shared" si="24"/>
        <v>20900.569199999998</v>
      </c>
      <c r="AO54" s="217">
        <f t="shared" si="32"/>
        <v>2216.3912195121811</v>
      </c>
      <c r="AP54" s="217">
        <f t="shared" si="33"/>
        <v>0</v>
      </c>
    </row>
    <row r="55" spans="2:42" ht="13.5" thickBot="1">
      <c r="B55" s="198" t="s">
        <v>456</v>
      </c>
      <c r="C55" s="198" t="s">
        <v>450</v>
      </c>
      <c r="D55" s="198" t="s">
        <v>697</v>
      </c>
      <c r="E55" s="198" t="s">
        <v>698</v>
      </c>
      <c r="F55" s="198" t="s">
        <v>672</v>
      </c>
      <c r="G55" s="197">
        <v>9</v>
      </c>
      <c r="H55" s="197" t="str">
        <f t="shared" si="25"/>
        <v>C</v>
      </c>
      <c r="I55" s="198" t="s">
        <v>541</v>
      </c>
      <c r="J55" s="198" t="s">
        <v>542</v>
      </c>
      <c r="K55" s="197">
        <v>1</v>
      </c>
      <c r="L55" s="197">
        <v>100</v>
      </c>
      <c r="M55" s="197">
        <v>1</v>
      </c>
      <c r="N55" s="198" t="s">
        <v>64</v>
      </c>
      <c r="O55" s="198" t="s">
        <v>333</v>
      </c>
      <c r="P55" s="212" t="s">
        <v>56</v>
      </c>
      <c r="Q55" s="198" t="s">
        <v>544</v>
      </c>
      <c r="R55" s="198" t="s">
        <v>323</v>
      </c>
      <c r="S55" s="205"/>
      <c r="T55" s="205"/>
      <c r="U55" s="197">
        <v>1</v>
      </c>
      <c r="V55" s="296">
        <v>95472.431000000041</v>
      </c>
      <c r="W55" s="296">
        <f t="shared" si="26"/>
        <v>95472.431000000041</v>
      </c>
      <c r="X55" s="206">
        <f t="shared" si="27"/>
        <v>50749.535122483518</v>
      </c>
      <c r="Y55" s="197">
        <f t="shared" si="28"/>
        <v>146221.96612248354</v>
      </c>
      <c r="Z55" s="207">
        <f t="shared" si="21"/>
        <v>223.2</v>
      </c>
      <c r="AA55" s="207">
        <f t="shared" si="34"/>
        <v>85.8</v>
      </c>
      <c r="AB55" s="207">
        <f t="shared" si="22"/>
        <v>16188</v>
      </c>
      <c r="AC55" s="207">
        <f t="shared" si="35"/>
        <v>1296.6719330855017</v>
      </c>
      <c r="AD55" s="207">
        <v>180</v>
      </c>
      <c r="AE55" s="207">
        <f t="shared" si="36"/>
        <v>1871.2596476000008</v>
      </c>
      <c r="AF55" s="207"/>
      <c r="AG55" s="207">
        <f t="shared" si="29"/>
        <v>1384.3502495000007</v>
      </c>
      <c r="AH55" s="207">
        <f t="shared" si="30"/>
        <v>941.16722479800046</v>
      </c>
      <c r="AI55" s="207"/>
      <c r="AJ55" s="204">
        <f t="shared" si="37"/>
        <v>653.40000000000009</v>
      </c>
      <c r="AK55" s="207">
        <f t="shared" si="31"/>
        <v>47.736215500000021</v>
      </c>
      <c r="AL55" s="207"/>
      <c r="AM55" s="204">
        <f t="shared" si="23"/>
        <v>5919.2907220000025</v>
      </c>
      <c r="AN55" s="207">
        <f t="shared" si="24"/>
        <v>21958.659130000011</v>
      </c>
      <c r="AO55" s="217">
        <f t="shared" si="32"/>
        <v>2328.5958780487708</v>
      </c>
      <c r="AP55" s="217">
        <f t="shared" si="33"/>
        <v>0</v>
      </c>
    </row>
    <row r="56" spans="2:42" ht="13.5" hidden="1" thickBot="1">
      <c r="B56" s="218" t="s">
        <v>699</v>
      </c>
      <c r="C56" s="218" t="s">
        <v>537</v>
      </c>
      <c r="D56" s="218"/>
      <c r="E56" s="218"/>
      <c r="F56" s="218"/>
      <c r="G56" s="220"/>
      <c r="H56" s="220" t="str">
        <f t="shared" si="25"/>
        <v>C</v>
      </c>
      <c r="I56" s="218" t="s">
        <v>541</v>
      </c>
      <c r="J56" s="218" t="s">
        <v>542</v>
      </c>
      <c r="K56" s="220">
        <v>1</v>
      </c>
      <c r="L56" s="220"/>
      <c r="M56" s="220"/>
      <c r="N56" s="218" t="s">
        <v>64</v>
      </c>
      <c r="O56" s="218" t="s">
        <v>302</v>
      </c>
      <c r="P56" s="212" t="s">
        <v>55</v>
      </c>
      <c r="Q56" s="218" t="s">
        <v>544</v>
      </c>
      <c r="R56" s="218" t="s">
        <v>233</v>
      </c>
      <c r="S56" s="219"/>
      <c r="T56" s="219"/>
      <c r="U56" s="220">
        <v>1</v>
      </c>
      <c r="V56" s="299">
        <v>46653.72</v>
      </c>
      <c r="W56" s="299">
        <f t="shared" si="26"/>
        <v>46653.72</v>
      </c>
      <c r="X56" s="221">
        <f t="shared" si="27"/>
        <v>33952.561084845504</v>
      </c>
      <c r="Y56" s="220">
        <f t="shared" si="28"/>
        <v>80606.281084845512</v>
      </c>
      <c r="Z56" s="222">
        <f t="shared" si="21"/>
        <v>223.2</v>
      </c>
      <c r="AA56" s="222">
        <f t="shared" si="34"/>
        <v>85.8</v>
      </c>
      <c r="AB56" s="222">
        <f t="shared" si="22"/>
        <v>16188</v>
      </c>
      <c r="AC56" s="222">
        <f t="shared" si="35"/>
        <v>1296.6719330855017</v>
      </c>
      <c r="AD56" s="222"/>
      <c r="AE56" s="222">
        <f t="shared" si="36"/>
        <v>914.41291200000001</v>
      </c>
      <c r="AF56" s="222"/>
      <c r="AG56" s="222">
        <f t="shared" si="29"/>
        <v>676.47894000000008</v>
      </c>
      <c r="AH56" s="222">
        <f t="shared" si="30"/>
        <v>459.91237176000004</v>
      </c>
      <c r="AI56" s="222"/>
      <c r="AJ56" s="223">
        <f t="shared" si="37"/>
        <v>461.87182800000005</v>
      </c>
      <c r="AK56" s="222">
        <f t="shared" si="31"/>
        <v>23.32686</v>
      </c>
      <c r="AL56" s="222"/>
      <c r="AM56" s="223">
        <f t="shared" si="23"/>
        <v>2892.5306399999999</v>
      </c>
      <c r="AN56" s="222">
        <f t="shared" si="24"/>
        <v>10730.355600000001</v>
      </c>
      <c r="AO56" s="217">
        <f t="shared" si="32"/>
        <v>1137.8956097560949</v>
      </c>
      <c r="AP56" s="217">
        <f t="shared" si="33"/>
        <v>0</v>
      </c>
    </row>
    <row r="57" spans="2:42" ht="13.5" hidden="1" thickBot="1">
      <c r="B57" s="198" t="s">
        <v>700</v>
      </c>
      <c r="C57" s="198" t="s">
        <v>478</v>
      </c>
      <c r="D57" s="198" t="s">
        <v>701</v>
      </c>
      <c r="E57" s="198" t="s">
        <v>702</v>
      </c>
      <c r="F57" s="198" t="s">
        <v>651</v>
      </c>
      <c r="G57" s="197">
        <v>3</v>
      </c>
      <c r="H57" s="197" t="s">
        <v>703</v>
      </c>
      <c r="I57" s="198" t="s">
        <v>541</v>
      </c>
      <c r="J57" s="198" t="s">
        <v>542</v>
      </c>
      <c r="K57" s="197">
        <v>1</v>
      </c>
      <c r="L57" s="197">
        <v>100</v>
      </c>
      <c r="M57" s="197">
        <v>1</v>
      </c>
      <c r="N57" s="198" t="s">
        <v>64</v>
      </c>
      <c r="O57" s="198" t="s">
        <v>367</v>
      </c>
      <c r="P57" s="212" t="s">
        <v>57</v>
      </c>
      <c r="Q57" s="198" t="s">
        <v>544</v>
      </c>
      <c r="R57" s="198" t="s">
        <v>345</v>
      </c>
      <c r="S57" s="205"/>
      <c r="T57" s="205"/>
      <c r="U57" s="197">
        <v>1</v>
      </c>
      <c r="V57" s="296">
        <v>40229.279999999999</v>
      </c>
      <c r="W57" s="296">
        <f t="shared" si="26"/>
        <v>40229.279999999999</v>
      </c>
      <c r="X57" s="206">
        <f t="shared" si="27"/>
        <v>31727.404895325504</v>
      </c>
      <c r="Y57" s="197">
        <f t="shared" si="28"/>
        <v>71956.68489532551</v>
      </c>
      <c r="Z57" s="207">
        <f t="shared" si="21"/>
        <v>223.2</v>
      </c>
      <c r="AA57" s="207">
        <f t="shared" si="34"/>
        <v>85.8</v>
      </c>
      <c r="AB57" s="207">
        <f t="shared" si="22"/>
        <v>16188</v>
      </c>
      <c r="AC57" s="207">
        <f t="shared" si="35"/>
        <v>1296.6719330855017</v>
      </c>
      <c r="AD57" s="207"/>
      <c r="AE57" s="207">
        <f t="shared" si="36"/>
        <v>788.49388799999997</v>
      </c>
      <c r="AF57" s="207"/>
      <c r="AG57" s="207">
        <f t="shared" si="29"/>
        <v>583.32456000000002</v>
      </c>
      <c r="AH57" s="207">
        <f t="shared" si="30"/>
        <v>396.58024224000002</v>
      </c>
      <c r="AI57" s="207"/>
      <c r="AJ57" s="204">
        <f t="shared" si="37"/>
        <v>398.26987200000002</v>
      </c>
      <c r="AK57" s="207">
        <f t="shared" si="31"/>
        <v>20.114640000000001</v>
      </c>
      <c r="AL57" s="207"/>
      <c r="AM57" s="204">
        <f t="shared" si="23"/>
        <v>2494.2153599999997</v>
      </c>
      <c r="AN57" s="207">
        <f t="shared" si="24"/>
        <v>9252.7343999999994</v>
      </c>
      <c r="AO57" s="217">
        <f t="shared" si="32"/>
        <v>981.2019512195111</v>
      </c>
      <c r="AP57" s="217">
        <f t="shared" si="33"/>
        <v>0</v>
      </c>
    </row>
    <row r="58" spans="2:42" ht="13.5" hidden="1" thickBot="1">
      <c r="B58" s="199" t="s">
        <v>704</v>
      </c>
      <c r="C58" s="199" t="s">
        <v>705</v>
      </c>
      <c r="D58" s="199" t="s">
        <v>706</v>
      </c>
      <c r="E58" s="199" t="s">
        <v>707</v>
      </c>
      <c r="F58" s="199" t="s">
        <v>708</v>
      </c>
      <c r="G58" s="200">
        <v>11</v>
      </c>
      <c r="H58" s="197" t="str">
        <f t="shared" ref="H58:H91" si="38">LEFT(I58,1)</f>
        <v>C</v>
      </c>
      <c r="I58" s="199" t="s">
        <v>541</v>
      </c>
      <c r="J58" s="199" t="s">
        <v>542</v>
      </c>
      <c r="K58" s="200">
        <v>1</v>
      </c>
      <c r="L58" s="200">
        <v>100</v>
      </c>
      <c r="M58" s="200">
        <v>1</v>
      </c>
      <c r="N58" s="199" t="s">
        <v>64</v>
      </c>
      <c r="O58" s="199" t="s">
        <v>374</v>
      </c>
      <c r="P58" s="212" t="s">
        <v>60</v>
      </c>
      <c r="Q58" s="199" t="s">
        <v>544</v>
      </c>
      <c r="R58" s="199" t="s">
        <v>709</v>
      </c>
      <c r="S58" s="201"/>
      <c r="T58" s="201"/>
      <c r="U58" s="200">
        <v>1</v>
      </c>
      <c r="V58" s="298">
        <v>35556.839999999997</v>
      </c>
      <c r="W58" s="298">
        <f t="shared" si="26"/>
        <v>35556.839999999997</v>
      </c>
      <c r="X58" s="202">
        <f t="shared" si="27"/>
        <v>30109.067921805497</v>
      </c>
      <c r="Y58" s="200">
        <f t="shared" si="28"/>
        <v>65665.907921805498</v>
      </c>
      <c r="Z58" s="203">
        <f t="shared" si="21"/>
        <v>223.2</v>
      </c>
      <c r="AA58" s="203">
        <f t="shared" si="34"/>
        <v>85.8</v>
      </c>
      <c r="AB58" s="203">
        <f t="shared" si="22"/>
        <v>16188</v>
      </c>
      <c r="AC58" s="203">
        <f t="shared" si="35"/>
        <v>1296.6719330855017</v>
      </c>
      <c r="AD58" s="203"/>
      <c r="AE58" s="203">
        <f t="shared" si="36"/>
        <v>696.91406399999994</v>
      </c>
      <c r="AF58" s="203"/>
      <c r="AG58" s="203">
        <f t="shared" si="29"/>
        <v>515.57417999999996</v>
      </c>
      <c r="AH58" s="203">
        <f t="shared" si="30"/>
        <v>350.51932871999998</v>
      </c>
      <c r="AI58" s="203"/>
      <c r="AJ58" s="204">
        <f t="shared" si="37"/>
        <v>352.01271600000001</v>
      </c>
      <c r="AK58" s="203">
        <f t="shared" si="31"/>
        <v>17.778419999999997</v>
      </c>
      <c r="AL58" s="203"/>
      <c r="AM58" s="204">
        <f t="shared" si="23"/>
        <v>2204.5240799999997</v>
      </c>
      <c r="AN58" s="203">
        <f t="shared" si="24"/>
        <v>8178.0731999999998</v>
      </c>
      <c r="AO58" s="217">
        <f t="shared" si="32"/>
        <v>867.23999999999796</v>
      </c>
      <c r="AP58" s="217">
        <f t="shared" si="33"/>
        <v>0</v>
      </c>
    </row>
    <row r="59" spans="2:42" ht="13.5" hidden="1" thickBot="1">
      <c r="B59" s="198" t="s">
        <v>710</v>
      </c>
      <c r="C59" s="198" t="s">
        <v>705</v>
      </c>
      <c r="D59" s="198" t="s">
        <v>711</v>
      </c>
      <c r="E59" s="198" t="s">
        <v>712</v>
      </c>
      <c r="F59" s="198" t="s">
        <v>708</v>
      </c>
      <c r="G59" s="197">
        <v>11</v>
      </c>
      <c r="H59" s="197" t="str">
        <f t="shared" si="38"/>
        <v>C</v>
      </c>
      <c r="I59" s="198" t="s">
        <v>541</v>
      </c>
      <c r="J59" s="198" t="s">
        <v>542</v>
      </c>
      <c r="K59" s="197">
        <v>1</v>
      </c>
      <c r="L59" s="197">
        <v>100</v>
      </c>
      <c r="M59" s="197">
        <v>1</v>
      </c>
      <c r="N59" s="198" t="s">
        <v>64</v>
      </c>
      <c r="O59" s="198" t="s">
        <v>374</v>
      </c>
      <c r="P59" s="212" t="s">
        <v>60</v>
      </c>
      <c r="Q59" s="198" t="s">
        <v>544</v>
      </c>
      <c r="R59" s="198" t="s">
        <v>709</v>
      </c>
      <c r="S59" s="205"/>
      <c r="T59" s="205"/>
      <c r="U59" s="197">
        <v>1</v>
      </c>
      <c r="V59" s="296">
        <v>35556.839999999997</v>
      </c>
      <c r="W59" s="296">
        <f t="shared" si="26"/>
        <v>35556.839999999997</v>
      </c>
      <c r="X59" s="206">
        <f t="shared" si="27"/>
        <v>30109.067921805497</v>
      </c>
      <c r="Y59" s="197">
        <f t="shared" si="28"/>
        <v>65665.907921805498</v>
      </c>
      <c r="Z59" s="207">
        <f t="shared" si="21"/>
        <v>223.2</v>
      </c>
      <c r="AA59" s="207">
        <f t="shared" si="34"/>
        <v>85.8</v>
      </c>
      <c r="AB59" s="207">
        <f t="shared" si="22"/>
        <v>16188</v>
      </c>
      <c r="AC59" s="207">
        <f t="shared" si="35"/>
        <v>1296.6719330855017</v>
      </c>
      <c r="AD59" s="207"/>
      <c r="AE59" s="207">
        <f t="shared" si="36"/>
        <v>696.91406399999994</v>
      </c>
      <c r="AF59" s="207"/>
      <c r="AG59" s="207">
        <f t="shared" si="29"/>
        <v>515.57417999999996</v>
      </c>
      <c r="AH59" s="207">
        <f t="shared" si="30"/>
        <v>350.51932871999998</v>
      </c>
      <c r="AI59" s="207"/>
      <c r="AJ59" s="204">
        <f t="shared" si="37"/>
        <v>352.01271600000001</v>
      </c>
      <c r="AK59" s="207">
        <f t="shared" si="31"/>
        <v>17.778419999999997</v>
      </c>
      <c r="AL59" s="207"/>
      <c r="AM59" s="204">
        <f t="shared" si="23"/>
        <v>2204.5240799999997</v>
      </c>
      <c r="AN59" s="207">
        <f t="shared" si="24"/>
        <v>8178.0731999999998</v>
      </c>
      <c r="AO59" s="217">
        <f t="shared" si="32"/>
        <v>867.23999999999796</v>
      </c>
      <c r="AP59" s="217">
        <f t="shared" si="33"/>
        <v>0</v>
      </c>
    </row>
    <row r="60" spans="2:42" ht="13.5" hidden="1" thickBot="1">
      <c r="B60" s="198" t="s">
        <v>713</v>
      </c>
      <c r="C60" s="198" t="s">
        <v>714</v>
      </c>
      <c r="D60" s="205"/>
      <c r="E60" s="230" t="s">
        <v>715</v>
      </c>
      <c r="F60" s="198">
        <v>465</v>
      </c>
      <c r="G60" s="197">
        <v>1</v>
      </c>
      <c r="H60" s="197" t="str">
        <f t="shared" si="38"/>
        <v>C</v>
      </c>
      <c r="I60" s="198" t="s">
        <v>541</v>
      </c>
      <c r="J60" s="198" t="s">
        <v>542</v>
      </c>
      <c r="K60" s="197">
        <v>0</v>
      </c>
      <c r="L60" s="197">
        <v>100</v>
      </c>
      <c r="M60" s="197">
        <v>1</v>
      </c>
      <c r="N60" s="198" t="s">
        <v>64</v>
      </c>
      <c r="O60" s="198" t="s">
        <v>288</v>
      </c>
      <c r="P60" s="212" t="s">
        <v>55</v>
      </c>
      <c r="Q60" s="198" t="s">
        <v>544</v>
      </c>
      <c r="R60" s="198" t="s">
        <v>233</v>
      </c>
      <c r="S60" s="205"/>
      <c r="T60" s="205"/>
      <c r="U60" s="197">
        <v>1</v>
      </c>
      <c r="V60" s="296">
        <v>58264.08</v>
      </c>
      <c r="W60" s="296">
        <f t="shared" si="26"/>
        <v>58264.08</v>
      </c>
      <c r="X60" s="206">
        <f t="shared" si="27"/>
        <v>37973.902153725503</v>
      </c>
      <c r="Y60" s="197">
        <f t="shared" si="28"/>
        <v>96237.982153725505</v>
      </c>
      <c r="Z60" s="207">
        <f t="shared" si="21"/>
        <v>223.2</v>
      </c>
      <c r="AA60" s="207">
        <f t="shared" si="34"/>
        <v>85.8</v>
      </c>
      <c r="AB60" s="207">
        <f t="shared" si="22"/>
        <v>16188</v>
      </c>
      <c r="AC60" s="207">
        <f t="shared" si="35"/>
        <v>1296.6719330855017</v>
      </c>
      <c r="AD60" s="207"/>
      <c r="AE60" s="207">
        <f t="shared" si="36"/>
        <v>1141.975968</v>
      </c>
      <c r="AF60" s="207"/>
      <c r="AG60" s="207">
        <f t="shared" si="29"/>
        <v>844.82916000000012</v>
      </c>
      <c r="AH60" s="207">
        <f t="shared" si="30"/>
        <v>574.36730064000005</v>
      </c>
      <c r="AI60" s="207"/>
      <c r="AJ60" s="204">
        <f t="shared" si="37"/>
        <v>576.81439200000011</v>
      </c>
      <c r="AK60" s="207">
        <f t="shared" si="31"/>
        <v>29.13204</v>
      </c>
      <c r="AL60" s="207"/>
      <c r="AM60" s="204">
        <f t="shared" si="23"/>
        <v>3612.3729600000001</v>
      </c>
      <c r="AN60" s="207">
        <f t="shared" si="24"/>
        <v>13400.7384</v>
      </c>
      <c r="AO60" s="217">
        <f t="shared" si="32"/>
        <v>1421.0751219512167</v>
      </c>
      <c r="AP60" s="217">
        <f t="shared" si="33"/>
        <v>0</v>
      </c>
    </row>
    <row r="61" spans="2:42" ht="13.5" hidden="1" thickBot="1">
      <c r="B61" s="199" t="s">
        <v>716</v>
      </c>
      <c r="C61" s="199" t="s">
        <v>717</v>
      </c>
      <c r="D61" s="199" t="s">
        <v>718</v>
      </c>
      <c r="E61" s="199" t="s">
        <v>719</v>
      </c>
      <c r="F61" s="199" t="s">
        <v>579</v>
      </c>
      <c r="G61" s="200">
        <v>4</v>
      </c>
      <c r="H61" s="197" t="str">
        <f t="shared" si="38"/>
        <v>C</v>
      </c>
      <c r="I61" s="199" t="s">
        <v>541</v>
      </c>
      <c r="J61" s="199" t="s">
        <v>542</v>
      </c>
      <c r="K61" s="200">
        <v>1</v>
      </c>
      <c r="L61" s="200">
        <v>100</v>
      </c>
      <c r="M61" s="200">
        <v>1</v>
      </c>
      <c r="N61" s="199" t="s">
        <v>64</v>
      </c>
      <c r="O61" s="199" t="s">
        <v>261</v>
      </c>
      <c r="P61" s="212" t="s">
        <v>55</v>
      </c>
      <c r="Q61" s="199" t="s">
        <v>544</v>
      </c>
      <c r="R61" s="199" t="s">
        <v>233</v>
      </c>
      <c r="S61" s="201"/>
      <c r="T61" s="201"/>
      <c r="U61" s="200">
        <v>1</v>
      </c>
      <c r="V61" s="298">
        <v>70989.119999999995</v>
      </c>
      <c r="W61" s="298">
        <f t="shared" si="26"/>
        <v>70989.119999999995</v>
      </c>
      <c r="X61" s="202">
        <f t="shared" si="27"/>
        <v>42331.929270045497</v>
      </c>
      <c r="Y61" s="200">
        <f t="shared" si="28"/>
        <v>113321.04927004549</v>
      </c>
      <c r="Z61" s="203">
        <f t="shared" ref="Z61:Z94" si="39">+$Z$4*U61</f>
        <v>223.2</v>
      </c>
      <c r="AA61" s="203">
        <f t="shared" si="34"/>
        <v>85.8</v>
      </c>
      <c r="AB61" s="203">
        <f t="shared" ref="AB61:AB94" si="40">+$AB$4*U61</f>
        <v>16188</v>
      </c>
      <c r="AC61" s="203">
        <f t="shared" si="35"/>
        <v>1296.6719330855017</v>
      </c>
      <c r="AD61" s="203"/>
      <c r="AE61" s="203">
        <f t="shared" si="36"/>
        <v>1391.3867519999999</v>
      </c>
      <c r="AF61" s="203"/>
      <c r="AG61" s="203">
        <f t="shared" si="29"/>
        <v>1029.3422399999999</v>
      </c>
      <c r="AH61" s="203">
        <f t="shared" si="30"/>
        <v>699.81074495999997</v>
      </c>
      <c r="AI61" s="203"/>
      <c r="AJ61" s="204">
        <f t="shared" si="37"/>
        <v>653.40000000000009</v>
      </c>
      <c r="AK61" s="203">
        <f t="shared" si="31"/>
        <v>35.49456</v>
      </c>
      <c r="AL61" s="203"/>
      <c r="AM61" s="204">
        <f t="shared" ref="AM61:AM99" si="41">SUM(IF(V61&gt;132900,((132900*$AM$4)*U61),(IF(V61&lt;132900,($AM$4*(W61))))))</f>
        <v>4401.3254399999996</v>
      </c>
      <c r="AN61" s="203">
        <f t="shared" ref="AN61:AN99" si="42">+W61*$AN$4</f>
        <v>16327.497599999999</v>
      </c>
      <c r="AO61" s="217">
        <f t="shared" si="32"/>
        <v>1731.4419512195018</v>
      </c>
      <c r="AP61" s="217">
        <f t="shared" si="33"/>
        <v>0</v>
      </c>
    </row>
    <row r="62" spans="2:42" ht="13.5" thickBot="1">
      <c r="B62" s="199" t="s">
        <v>457</v>
      </c>
      <c r="C62" s="199" t="s">
        <v>458</v>
      </c>
      <c r="D62" s="199" t="s">
        <v>720</v>
      </c>
      <c r="E62" s="199" t="s">
        <v>721</v>
      </c>
      <c r="F62" s="199" t="s">
        <v>662</v>
      </c>
      <c r="G62" s="200">
        <v>11</v>
      </c>
      <c r="H62" s="197" t="str">
        <f t="shared" si="38"/>
        <v>C</v>
      </c>
      <c r="I62" s="199" t="s">
        <v>541</v>
      </c>
      <c r="J62" s="199" t="s">
        <v>542</v>
      </c>
      <c r="K62" s="200">
        <v>1</v>
      </c>
      <c r="L62" s="200">
        <v>100</v>
      </c>
      <c r="M62" s="200">
        <v>1</v>
      </c>
      <c r="N62" s="199" t="s">
        <v>64</v>
      </c>
      <c r="O62" s="199" t="s">
        <v>333</v>
      </c>
      <c r="P62" s="212" t="s">
        <v>56</v>
      </c>
      <c r="Q62" s="199" t="s">
        <v>544</v>
      </c>
      <c r="R62" s="199" t="s">
        <v>323</v>
      </c>
      <c r="S62" s="201"/>
      <c r="T62" s="201"/>
      <c r="U62" s="200">
        <v>1</v>
      </c>
      <c r="V62" s="298">
        <v>93143.88</v>
      </c>
      <c r="W62" s="298">
        <f t="shared" si="26"/>
        <v>93143.88</v>
      </c>
      <c r="X62" s="202">
        <f t="shared" si="27"/>
        <v>49786.075510125505</v>
      </c>
      <c r="Y62" s="200">
        <f t="shared" si="28"/>
        <v>142929.9555101255</v>
      </c>
      <c r="Z62" s="203">
        <f t="shared" si="39"/>
        <v>223.2</v>
      </c>
      <c r="AA62" s="203">
        <f t="shared" si="34"/>
        <v>85.8</v>
      </c>
      <c r="AB62" s="203">
        <f t="shared" si="40"/>
        <v>16188</v>
      </c>
      <c r="AC62" s="203">
        <f t="shared" si="35"/>
        <v>1296.6719330855017</v>
      </c>
      <c r="AD62" s="203"/>
      <c r="AE62" s="203">
        <f t="shared" si="36"/>
        <v>1825.620048</v>
      </c>
      <c r="AF62" s="203"/>
      <c r="AG62" s="203">
        <f t="shared" si="29"/>
        <v>1350.58626</v>
      </c>
      <c r="AH62" s="203">
        <f t="shared" si="30"/>
        <v>918.21236904000011</v>
      </c>
      <c r="AI62" s="203"/>
      <c r="AJ62" s="204">
        <f t="shared" si="37"/>
        <v>653.40000000000009</v>
      </c>
      <c r="AK62" s="203">
        <f t="shared" si="31"/>
        <v>46.571940000000005</v>
      </c>
      <c r="AL62" s="203"/>
      <c r="AM62" s="204">
        <f t="shared" si="41"/>
        <v>5774.9205600000005</v>
      </c>
      <c r="AN62" s="203">
        <f t="shared" si="42"/>
        <v>21423.092400000001</v>
      </c>
      <c r="AO62" s="217">
        <f t="shared" si="32"/>
        <v>2271.8019512195024</v>
      </c>
      <c r="AP62" s="217">
        <f t="shared" si="33"/>
        <v>0</v>
      </c>
    </row>
    <row r="63" spans="2:42" ht="13.5" thickBot="1">
      <c r="B63" s="199" t="s">
        <v>459</v>
      </c>
      <c r="C63" s="199" t="s">
        <v>460</v>
      </c>
      <c r="D63" s="199" t="s">
        <v>722</v>
      </c>
      <c r="E63" s="199" t="s">
        <v>723</v>
      </c>
      <c r="F63" s="199" t="s">
        <v>590</v>
      </c>
      <c r="G63" s="200">
        <v>15</v>
      </c>
      <c r="H63" s="197" t="str">
        <f t="shared" si="38"/>
        <v>C</v>
      </c>
      <c r="I63" s="199" t="s">
        <v>541</v>
      </c>
      <c r="J63" s="199" t="s">
        <v>542</v>
      </c>
      <c r="K63" s="200">
        <v>1</v>
      </c>
      <c r="L63" s="200">
        <v>100</v>
      </c>
      <c r="M63" s="200">
        <v>1</v>
      </c>
      <c r="N63" s="199" t="s">
        <v>64</v>
      </c>
      <c r="O63" s="199" t="s">
        <v>333</v>
      </c>
      <c r="P63" s="212" t="s">
        <v>56</v>
      </c>
      <c r="Q63" s="199" t="s">
        <v>544</v>
      </c>
      <c r="R63" s="199" t="s">
        <v>323</v>
      </c>
      <c r="S63" s="201"/>
      <c r="T63" s="201"/>
      <c r="U63" s="200">
        <v>1</v>
      </c>
      <c r="V63" s="298">
        <v>74582.880000000005</v>
      </c>
      <c r="W63" s="298">
        <f t="shared" si="26"/>
        <v>74582.880000000005</v>
      </c>
      <c r="X63" s="202">
        <f t="shared" si="27"/>
        <v>43721.078572125509</v>
      </c>
      <c r="Y63" s="200">
        <f t="shared" si="28"/>
        <v>118303.95857212551</v>
      </c>
      <c r="Z63" s="203">
        <f t="shared" si="39"/>
        <v>223.2</v>
      </c>
      <c r="AA63" s="203">
        <f t="shared" si="34"/>
        <v>85.8</v>
      </c>
      <c r="AB63" s="203">
        <f t="shared" si="40"/>
        <v>16188</v>
      </c>
      <c r="AC63" s="203">
        <f t="shared" si="35"/>
        <v>1296.6719330855017</v>
      </c>
      <c r="AD63" s="203">
        <v>180</v>
      </c>
      <c r="AE63" s="203">
        <f t="shared" si="36"/>
        <v>1461.8244480000001</v>
      </c>
      <c r="AF63" s="203"/>
      <c r="AG63" s="203">
        <f t="shared" si="29"/>
        <v>1081.4517600000001</v>
      </c>
      <c r="AH63" s="203">
        <f t="shared" si="30"/>
        <v>735.23803104000012</v>
      </c>
      <c r="AI63" s="203"/>
      <c r="AJ63" s="204">
        <f t="shared" si="37"/>
        <v>653.40000000000009</v>
      </c>
      <c r="AK63" s="203">
        <f t="shared" si="31"/>
        <v>37.291440000000001</v>
      </c>
      <c r="AL63" s="203"/>
      <c r="AM63" s="204">
        <f t="shared" si="41"/>
        <v>4624.1385600000003</v>
      </c>
      <c r="AN63" s="203">
        <f t="shared" si="42"/>
        <v>17154.062400000003</v>
      </c>
      <c r="AO63" s="217">
        <f t="shared" si="32"/>
        <v>0</v>
      </c>
      <c r="AP63" s="217">
        <f t="shared" si="33"/>
        <v>0</v>
      </c>
    </row>
    <row r="64" spans="2:42" ht="13.5" thickBot="1">
      <c r="B64" s="199" t="s">
        <v>461</v>
      </c>
      <c r="C64" s="199" t="s">
        <v>462</v>
      </c>
      <c r="D64" s="199" t="s">
        <v>724</v>
      </c>
      <c r="E64" s="199" t="s">
        <v>725</v>
      </c>
      <c r="F64" s="199" t="s">
        <v>624</v>
      </c>
      <c r="G64" s="200">
        <v>4</v>
      </c>
      <c r="H64" s="197" t="str">
        <f t="shared" si="38"/>
        <v>C</v>
      </c>
      <c r="I64" s="199" t="s">
        <v>541</v>
      </c>
      <c r="J64" s="199" t="s">
        <v>542</v>
      </c>
      <c r="K64" s="200">
        <v>1</v>
      </c>
      <c r="L64" s="200">
        <v>100</v>
      </c>
      <c r="M64" s="200">
        <v>1</v>
      </c>
      <c r="N64" s="199" t="s">
        <v>64</v>
      </c>
      <c r="O64" s="199" t="s">
        <v>328</v>
      </c>
      <c r="P64" s="212" t="s">
        <v>56</v>
      </c>
      <c r="Q64" s="199" t="s">
        <v>544</v>
      </c>
      <c r="R64" s="199" t="s">
        <v>323</v>
      </c>
      <c r="S64" s="201"/>
      <c r="T64" s="201"/>
      <c r="U64" s="200">
        <v>1</v>
      </c>
      <c r="V64" s="298">
        <v>90872.04</v>
      </c>
      <c r="W64" s="298">
        <f t="shared" si="26"/>
        <v>90872.04</v>
      </c>
      <c r="X64" s="202">
        <f t="shared" si="27"/>
        <v>49021.696767405498</v>
      </c>
      <c r="Y64" s="200">
        <f t="shared" si="28"/>
        <v>139893.7367674055</v>
      </c>
      <c r="Z64" s="203">
        <f t="shared" si="39"/>
        <v>223.2</v>
      </c>
      <c r="AA64" s="203">
        <f t="shared" si="34"/>
        <v>85.8</v>
      </c>
      <c r="AB64" s="203">
        <f t="shared" si="40"/>
        <v>16188</v>
      </c>
      <c r="AC64" s="203">
        <f t="shared" si="35"/>
        <v>1296.6719330855017</v>
      </c>
      <c r="AD64" s="203"/>
      <c r="AE64" s="203">
        <f t="shared" si="36"/>
        <v>1781.0919839999999</v>
      </c>
      <c r="AF64" s="203"/>
      <c r="AG64" s="203">
        <f t="shared" si="29"/>
        <v>1317.6445799999999</v>
      </c>
      <c r="AH64" s="203">
        <f t="shared" si="30"/>
        <v>895.81657031999998</v>
      </c>
      <c r="AI64" s="203"/>
      <c r="AJ64" s="204">
        <f t="shared" si="37"/>
        <v>653.40000000000009</v>
      </c>
      <c r="AK64" s="203">
        <f t="shared" si="31"/>
        <v>45.436019999999999</v>
      </c>
      <c r="AL64" s="203"/>
      <c r="AM64" s="204">
        <f t="shared" si="41"/>
        <v>5634.0664799999995</v>
      </c>
      <c r="AN64" s="203">
        <f t="shared" si="42"/>
        <v>20900.569199999998</v>
      </c>
      <c r="AO64" s="217">
        <f t="shared" si="32"/>
        <v>2216.3912195121811</v>
      </c>
      <c r="AP64" s="217">
        <f t="shared" si="33"/>
        <v>0</v>
      </c>
    </row>
    <row r="65" spans="2:42" ht="13.5" hidden="1" thickBot="1">
      <c r="B65" s="198" t="s">
        <v>726</v>
      </c>
      <c r="C65" s="198" t="s">
        <v>678</v>
      </c>
      <c r="D65" s="198" t="s">
        <v>727</v>
      </c>
      <c r="E65" s="198" t="s">
        <v>728</v>
      </c>
      <c r="F65" s="198" t="s">
        <v>553</v>
      </c>
      <c r="G65" s="197">
        <v>5</v>
      </c>
      <c r="H65" s="197" t="str">
        <f t="shared" si="38"/>
        <v>C</v>
      </c>
      <c r="I65" s="198" t="s">
        <v>541</v>
      </c>
      <c r="J65" s="198" t="s">
        <v>542</v>
      </c>
      <c r="K65" s="197">
        <v>1</v>
      </c>
      <c r="L65" s="197">
        <v>100</v>
      </c>
      <c r="M65" s="197">
        <v>1</v>
      </c>
      <c r="N65" s="198" t="s">
        <v>64</v>
      </c>
      <c r="O65" s="198" t="s">
        <v>371</v>
      </c>
      <c r="P65" s="212" t="s">
        <v>57</v>
      </c>
      <c r="Q65" s="198" t="s">
        <v>544</v>
      </c>
      <c r="R65" s="198" t="s">
        <v>345</v>
      </c>
      <c r="S65" s="205"/>
      <c r="T65" s="205"/>
      <c r="U65" s="197">
        <v>1</v>
      </c>
      <c r="V65" s="296">
        <v>52784.39</v>
      </c>
      <c r="W65" s="296">
        <f t="shared" si="26"/>
        <v>52784.39</v>
      </c>
      <c r="X65" s="206">
        <f t="shared" si="27"/>
        <v>36075.967684705502</v>
      </c>
      <c r="Y65" s="197">
        <f t="shared" si="28"/>
        <v>88860.357684705494</v>
      </c>
      <c r="Z65" s="207">
        <f t="shared" si="39"/>
        <v>223.2</v>
      </c>
      <c r="AA65" s="207">
        <f t="shared" si="34"/>
        <v>85.8</v>
      </c>
      <c r="AB65" s="207">
        <f t="shared" si="40"/>
        <v>16188</v>
      </c>
      <c r="AC65" s="207">
        <f t="shared" si="35"/>
        <v>1296.6719330855017</v>
      </c>
      <c r="AD65" s="207"/>
      <c r="AE65" s="207">
        <f t="shared" si="36"/>
        <v>1034.574044</v>
      </c>
      <c r="AF65" s="207"/>
      <c r="AG65" s="207">
        <f t="shared" si="29"/>
        <v>765.37365499999999</v>
      </c>
      <c r="AH65" s="207">
        <f t="shared" si="30"/>
        <v>520.34851662000005</v>
      </c>
      <c r="AI65" s="207"/>
      <c r="AJ65" s="204">
        <f t="shared" si="37"/>
        <v>522.56546100000003</v>
      </c>
      <c r="AK65" s="207">
        <f t="shared" si="31"/>
        <v>26.392195000000001</v>
      </c>
      <c r="AL65" s="207"/>
      <c r="AM65" s="204">
        <f t="shared" si="41"/>
        <v>3272.6321800000001</v>
      </c>
      <c r="AN65" s="207">
        <f t="shared" si="42"/>
        <v>12140.4097</v>
      </c>
      <c r="AO65" s="217">
        <f t="shared" si="32"/>
        <v>1287.4241463414583</v>
      </c>
      <c r="AP65" s="217">
        <f t="shared" si="33"/>
        <v>0</v>
      </c>
    </row>
    <row r="66" spans="2:42" ht="13.5" hidden="1" thickBot="1">
      <c r="B66" s="198" t="s">
        <v>729</v>
      </c>
      <c r="C66" s="198" t="s">
        <v>537</v>
      </c>
      <c r="D66" s="198" t="s">
        <v>730</v>
      </c>
      <c r="E66" s="198" t="s">
        <v>731</v>
      </c>
      <c r="F66" s="198" t="s">
        <v>540</v>
      </c>
      <c r="G66" s="197">
        <v>2</v>
      </c>
      <c r="H66" s="197" t="str">
        <f t="shared" si="38"/>
        <v>C</v>
      </c>
      <c r="I66" s="198" t="s">
        <v>541</v>
      </c>
      <c r="J66" s="198" t="s">
        <v>542</v>
      </c>
      <c r="K66" s="197">
        <v>1</v>
      </c>
      <c r="L66" s="197">
        <v>100</v>
      </c>
      <c r="M66" s="197">
        <v>1</v>
      </c>
      <c r="N66" s="198" t="s">
        <v>64</v>
      </c>
      <c r="O66" s="198" t="s">
        <v>298</v>
      </c>
      <c r="P66" s="212" t="s">
        <v>55</v>
      </c>
      <c r="Q66" s="198" t="s">
        <v>544</v>
      </c>
      <c r="R66" s="198" t="s">
        <v>233</v>
      </c>
      <c r="S66" s="205"/>
      <c r="T66" s="205"/>
      <c r="U66" s="197">
        <v>1</v>
      </c>
      <c r="V66" s="296">
        <v>45515.784800000038</v>
      </c>
      <c r="W66" s="296">
        <f t="shared" si="26"/>
        <v>45515.784800000038</v>
      </c>
      <c r="X66" s="206">
        <f t="shared" si="27"/>
        <v>33558.428124843915</v>
      </c>
      <c r="Y66" s="197">
        <f t="shared" si="28"/>
        <v>79074.212924843945</v>
      </c>
      <c r="Z66" s="207">
        <f t="shared" si="39"/>
        <v>223.2</v>
      </c>
      <c r="AA66" s="207">
        <f t="shared" si="34"/>
        <v>85.8</v>
      </c>
      <c r="AB66" s="207">
        <f t="shared" si="40"/>
        <v>16188</v>
      </c>
      <c r="AC66" s="207">
        <f t="shared" si="35"/>
        <v>1296.6719330855017</v>
      </c>
      <c r="AD66" s="207"/>
      <c r="AE66" s="207">
        <f t="shared" si="36"/>
        <v>892.10938208000073</v>
      </c>
      <c r="AF66" s="207"/>
      <c r="AG66" s="207">
        <f t="shared" si="29"/>
        <v>659.9788796000006</v>
      </c>
      <c r="AH66" s="207">
        <f t="shared" si="30"/>
        <v>448.69460655840038</v>
      </c>
      <c r="AI66" s="207"/>
      <c r="AJ66" s="204">
        <f t="shared" si="37"/>
        <v>450.60626952000041</v>
      </c>
      <c r="AK66" s="207">
        <f t="shared" si="31"/>
        <v>22.757892400000021</v>
      </c>
      <c r="AL66" s="207"/>
      <c r="AM66" s="204">
        <f t="shared" si="41"/>
        <v>2821.9786576000024</v>
      </c>
      <c r="AN66" s="207">
        <f t="shared" si="42"/>
        <v>10468.63050400001</v>
      </c>
      <c r="AO66" s="217">
        <f t="shared" si="32"/>
        <v>1110.1410926829267</v>
      </c>
      <c r="AP66" s="217">
        <f t="shared" si="33"/>
        <v>0</v>
      </c>
    </row>
    <row r="67" spans="2:42" ht="13.5" hidden="1" thickBot="1">
      <c r="B67" s="199" t="s">
        <v>732</v>
      </c>
      <c r="C67" s="199" t="s">
        <v>691</v>
      </c>
      <c r="D67" s="199" t="s">
        <v>733</v>
      </c>
      <c r="E67" s="199" t="s">
        <v>734</v>
      </c>
      <c r="F67" s="199" t="s">
        <v>694</v>
      </c>
      <c r="G67" s="200">
        <v>7</v>
      </c>
      <c r="H67" s="197" t="str">
        <f t="shared" si="38"/>
        <v>C</v>
      </c>
      <c r="I67" s="199" t="s">
        <v>541</v>
      </c>
      <c r="J67" s="199" t="s">
        <v>542</v>
      </c>
      <c r="K67" s="200">
        <v>1</v>
      </c>
      <c r="L67" s="200">
        <v>100</v>
      </c>
      <c r="M67" s="200">
        <v>1</v>
      </c>
      <c r="N67" s="199" t="s">
        <v>64</v>
      </c>
      <c r="O67" s="199" t="s">
        <v>172</v>
      </c>
      <c r="P67" s="212" t="s">
        <v>53</v>
      </c>
      <c r="Q67" s="199" t="s">
        <v>544</v>
      </c>
      <c r="R67" s="199" t="s">
        <v>175</v>
      </c>
      <c r="S67" s="201"/>
      <c r="T67" s="201"/>
      <c r="U67" s="200">
        <v>1</v>
      </c>
      <c r="V67" s="298">
        <v>80317.679999999993</v>
      </c>
      <c r="W67" s="298">
        <f t="shared" si="26"/>
        <v>80317.679999999993</v>
      </c>
      <c r="X67" s="202">
        <f t="shared" si="27"/>
        <v>45470.597910525503</v>
      </c>
      <c r="Y67" s="200">
        <f t="shared" si="28"/>
        <v>125788.2779105255</v>
      </c>
      <c r="Z67" s="203">
        <f t="shared" si="39"/>
        <v>223.2</v>
      </c>
      <c r="AA67" s="203">
        <f t="shared" si="34"/>
        <v>85.8</v>
      </c>
      <c r="AB67" s="203">
        <f t="shared" si="40"/>
        <v>16188</v>
      </c>
      <c r="AC67" s="203">
        <f t="shared" si="35"/>
        <v>1296.6719330855017</v>
      </c>
      <c r="AD67" s="203"/>
      <c r="AE67" s="203">
        <f t="shared" si="36"/>
        <v>1574.2265279999999</v>
      </c>
      <c r="AF67" s="203"/>
      <c r="AG67" s="203">
        <f t="shared" si="29"/>
        <v>1164.60636</v>
      </c>
      <c r="AH67" s="203">
        <f t="shared" si="30"/>
        <v>791.77168943999993</v>
      </c>
      <c r="AI67" s="203"/>
      <c r="AJ67" s="204">
        <f t="shared" si="37"/>
        <v>653.40000000000009</v>
      </c>
      <c r="AK67" s="203">
        <f t="shared" si="31"/>
        <v>40.158839999999998</v>
      </c>
      <c r="AL67" s="203"/>
      <c r="AM67" s="204">
        <f t="shared" si="41"/>
        <v>4979.6961599999995</v>
      </c>
      <c r="AN67" s="203">
        <f t="shared" si="42"/>
        <v>18473.0664</v>
      </c>
      <c r="AO67" s="217">
        <f t="shared" si="32"/>
        <v>1958.9678048780479</v>
      </c>
      <c r="AP67" s="217">
        <f t="shared" si="33"/>
        <v>0</v>
      </c>
    </row>
    <row r="68" spans="2:42" ht="13.5" hidden="1" thickBot="1">
      <c r="B68" s="198" t="s">
        <v>735</v>
      </c>
      <c r="C68" s="198" t="s">
        <v>691</v>
      </c>
      <c r="D68" s="198" t="s">
        <v>736</v>
      </c>
      <c r="E68" s="198" t="s">
        <v>737</v>
      </c>
      <c r="F68" s="198" t="s">
        <v>694</v>
      </c>
      <c r="G68" s="197">
        <v>7</v>
      </c>
      <c r="H68" s="197" t="str">
        <f t="shared" si="38"/>
        <v>C</v>
      </c>
      <c r="I68" s="198" t="s">
        <v>541</v>
      </c>
      <c r="J68" s="198" t="s">
        <v>542</v>
      </c>
      <c r="K68" s="197">
        <v>1</v>
      </c>
      <c r="L68" s="197">
        <v>100</v>
      </c>
      <c r="M68" s="197">
        <v>1</v>
      </c>
      <c r="N68" s="198" t="s">
        <v>64</v>
      </c>
      <c r="O68" s="198" t="s">
        <v>172</v>
      </c>
      <c r="P68" s="212" t="s">
        <v>53</v>
      </c>
      <c r="Q68" s="198" t="s">
        <v>544</v>
      </c>
      <c r="R68" s="198" t="s">
        <v>175</v>
      </c>
      <c r="S68" s="205"/>
      <c r="T68" s="205"/>
      <c r="U68" s="197">
        <v>1</v>
      </c>
      <c r="V68" s="296">
        <v>80317.73</v>
      </c>
      <c r="W68" s="296">
        <f t="shared" si="26"/>
        <v>80317.73</v>
      </c>
      <c r="X68" s="206">
        <f t="shared" si="27"/>
        <v>45470.614733425507</v>
      </c>
      <c r="Y68" s="197">
        <f t="shared" si="28"/>
        <v>125788.3447334255</v>
      </c>
      <c r="Z68" s="207">
        <f t="shared" si="39"/>
        <v>223.2</v>
      </c>
      <c r="AA68" s="207">
        <f t="shared" si="34"/>
        <v>85.8</v>
      </c>
      <c r="AB68" s="207">
        <f t="shared" si="40"/>
        <v>16188</v>
      </c>
      <c r="AC68" s="207">
        <f t="shared" si="35"/>
        <v>1296.6719330855017</v>
      </c>
      <c r="AD68" s="207"/>
      <c r="AE68" s="207">
        <f t="shared" si="36"/>
        <v>1574.2275079999999</v>
      </c>
      <c r="AF68" s="207"/>
      <c r="AG68" s="207">
        <f t="shared" si="29"/>
        <v>1164.6070850000001</v>
      </c>
      <c r="AH68" s="207">
        <f t="shared" si="30"/>
        <v>791.77218233999997</v>
      </c>
      <c r="AI68" s="207"/>
      <c r="AJ68" s="204">
        <f t="shared" si="37"/>
        <v>653.40000000000009</v>
      </c>
      <c r="AK68" s="207">
        <f t="shared" si="31"/>
        <v>40.158864999999999</v>
      </c>
      <c r="AL68" s="207"/>
      <c r="AM68" s="204">
        <f t="shared" si="41"/>
        <v>4979.6992599999994</v>
      </c>
      <c r="AN68" s="207">
        <f t="shared" si="42"/>
        <v>18473.0779</v>
      </c>
      <c r="AO68" s="217">
        <f t="shared" ref="AO68:AO102" si="43">IF(H68="C",IF(G68&lt;15,W68-(W68/1.025),0),0)</f>
        <v>1958.9690243902442</v>
      </c>
      <c r="AP68" s="217">
        <f t="shared" ref="AP68:AP102" si="44">IF(H68="M",IF(G68&lt;15,W68-(W68/1.025),0),0)</f>
        <v>0</v>
      </c>
    </row>
    <row r="69" spans="2:42" ht="13.5" thickBot="1">
      <c r="B69" s="199" t="s">
        <v>465</v>
      </c>
      <c r="C69" s="199" t="s">
        <v>466</v>
      </c>
      <c r="D69" s="199" t="s">
        <v>738</v>
      </c>
      <c r="E69" s="199" t="s">
        <v>739</v>
      </c>
      <c r="F69" s="199" t="s">
        <v>627</v>
      </c>
      <c r="G69" s="200">
        <v>15</v>
      </c>
      <c r="H69" s="197" t="str">
        <f t="shared" si="38"/>
        <v>C</v>
      </c>
      <c r="I69" s="199" t="s">
        <v>541</v>
      </c>
      <c r="J69" s="199" t="s">
        <v>542</v>
      </c>
      <c r="K69" s="200">
        <v>1</v>
      </c>
      <c r="L69" s="200">
        <v>100</v>
      </c>
      <c r="M69" s="200">
        <v>1</v>
      </c>
      <c r="N69" s="199" t="s">
        <v>64</v>
      </c>
      <c r="O69" s="199" t="s">
        <v>328</v>
      </c>
      <c r="P69" s="212" t="s">
        <v>56</v>
      </c>
      <c r="Q69" s="199" t="s">
        <v>544</v>
      </c>
      <c r="R69" s="199" t="s">
        <v>323</v>
      </c>
      <c r="S69" s="201"/>
      <c r="T69" s="201"/>
      <c r="U69" s="200">
        <v>1</v>
      </c>
      <c r="V69" s="298">
        <v>113486.76</v>
      </c>
      <c r="W69" s="298">
        <f t="shared" si="26"/>
        <v>113486.76</v>
      </c>
      <c r="X69" s="202">
        <f t="shared" si="27"/>
        <v>56630.600229165502</v>
      </c>
      <c r="Y69" s="200">
        <f t="shared" si="28"/>
        <v>170117.3602291655</v>
      </c>
      <c r="Z69" s="203">
        <f t="shared" si="39"/>
        <v>223.2</v>
      </c>
      <c r="AA69" s="203">
        <f t="shared" si="34"/>
        <v>85.8</v>
      </c>
      <c r="AB69" s="203">
        <f t="shared" si="40"/>
        <v>16188</v>
      </c>
      <c r="AC69" s="203">
        <f t="shared" si="35"/>
        <v>1296.6719330855017</v>
      </c>
      <c r="AD69" s="203"/>
      <c r="AE69" s="203">
        <f t="shared" si="36"/>
        <v>2224.3404959999998</v>
      </c>
      <c r="AF69" s="203"/>
      <c r="AG69" s="203">
        <f t="shared" si="29"/>
        <v>1645.5580199999999</v>
      </c>
      <c r="AH69" s="203">
        <f t="shared" si="30"/>
        <v>1118.7524800799999</v>
      </c>
      <c r="AI69" s="203"/>
      <c r="AJ69" s="204">
        <f t="shared" si="37"/>
        <v>653.40000000000009</v>
      </c>
      <c r="AK69" s="203">
        <f t="shared" si="31"/>
        <v>56.743380000000002</v>
      </c>
      <c r="AL69" s="203"/>
      <c r="AM69" s="204">
        <f t="shared" si="41"/>
        <v>7036.1791199999998</v>
      </c>
      <c r="AN69" s="203">
        <f t="shared" si="42"/>
        <v>26101.9548</v>
      </c>
      <c r="AO69" s="217">
        <f t="shared" si="43"/>
        <v>0</v>
      </c>
      <c r="AP69" s="217">
        <f t="shared" si="44"/>
        <v>0</v>
      </c>
    </row>
    <row r="70" spans="2:42" ht="13.5" thickBot="1">
      <c r="B70" s="199" t="s">
        <v>467</v>
      </c>
      <c r="C70" s="199" t="s">
        <v>430</v>
      </c>
      <c r="D70" s="199" t="s">
        <v>740</v>
      </c>
      <c r="E70" s="199" t="s">
        <v>741</v>
      </c>
      <c r="F70" s="199" t="s">
        <v>630</v>
      </c>
      <c r="G70" s="200">
        <v>3</v>
      </c>
      <c r="H70" s="197" t="str">
        <f t="shared" si="38"/>
        <v>C</v>
      </c>
      <c r="I70" s="199" t="s">
        <v>541</v>
      </c>
      <c r="J70" s="199" t="s">
        <v>542</v>
      </c>
      <c r="K70" s="200">
        <v>1</v>
      </c>
      <c r="L70" s="200">
        <v>100</v>
      </c>
      <c r="M70" s="200">
        <v>1</v>
      </c>
      <c r="N70" s="199" t="s">
        <v>64</v>
      </c>
      <c r="O70" s="199" t="s">
        <v>328</v>
      </c>
      <c r="P70" s="212" t="s">
        <v>56</v>
      </c>
      <c r="Q70" s="199" t="s">
        <v>544</v>
      </c>
      <c r="R70" s="199" t="s">
        <v>323</v>
      </c>
      <c r="S70" s="201"/>
      <c r="T70" s="201"/>
      <c r="U70" s="200">
        <v>1</v>
      </c>
      <c r="V70" s="298">
        <v>78358.679999999993</v>
      </c>
      <c r="W70" s="298">
        <f t="shared" ref="W70:W103" si="45">+V70*U70</f>
        <v>78358.679999999993</v>
      </c>
      <c r="X70" s="202">
        <f t="shared" ref="X70:X103" si="46">SUM(Z70:AN70)</f>
        <v>44811.476688525509</v>
      </c>
      <c r="Y70" s="200">
        <f t="shared" ref="Y70:Y103" si="47">+W70+X70</f>
        <v>123170.1566885255</v>
      </c>
      <c r="Z70" s="203">
        <f t="shared" si="39"/>
        <v>223.2</v>
      </c>
      <c r="AA70" s="203">
        <f t="shared" si="34"/>
        <v>85.8</v>
      </c>
      <c r="AB70" s="203">
        <f t="shared" si="40"/>
        <v>16188</v>
      </c>
      <c r="AC70" s="203">
        <f t="shared" si="35"/>
        <v>1296.6719330855017</v>
      </c>
      <c r="AD70" s="203"/>
      <c r="AE70" s="203">
        <f t="shared" si="36"/>
        <v>1535.8301279999998</v>
      </c>
      <c r="AF70" s="203"/>
      <c r="AG70" s="203">
        <f t="shared" ref="AG70:AG103" si="48">+W70*$AG$4</f>
        <v>1136.2008599999999</v>
      </c>
      <c r="AH70" s="203">
        <f t="shared" ref="AH70:AH103" si="49">+W70*$AH$4</f>
        <v>772.45986743999993</v>
      </c>
      <c r="AI70" s="203"/>
      <c r="AJ70" s="204">
        <f t="shared" si="37"/>
        <v>653.40000000000009</v>
      </c>
      <c r="AK70" s="203">
        <f t="shared" ref="AK70:AK103" si="50">+W70*$AK$4</f>
        <v>39.179339999999996</v>
      </c>
      <c r="AL70" s="203"/>
      <c r="AM70" s="204">
        <f t="shared" si="41"/>
        <v>4858.2381599999999</v>
      </c>
      <c r="AN70" s="203">
        <f t="shared" si="42"/>
        <v>18022.4964</v>
      </c>
      <c r="AO70" s="217">
        <f t="shared" si="43"/>
        <v>1911.1873170731706</v>
      </c>
      <c r="AP70" s="217">
        <f t="shared" si="44"/>
        <v>0</v>
      </c>
    </row>
    <row r="71" spans="2:42" ht="13.5" hidden="1" thickBot="1">
      <c r="B71" s="199" t="s">
        <v>536</v>
      </c>
      <c r="C71" s="199" t="s">
        <v>537</v>
      </c>
      <c r="D71" s="199" t="s">
        <v>538</v>
      </c>
      <c r="E71" s="199" t="s">
        <v>539</v>
      </c>
      <c r="F71" s="199" t="s">
        <v>540</v>
      </c>
      <c r="G71" s="200">
        <v>4</v>
      </c>
      <c r="H71" s="197" t="str">
        <f t="shared" si="38"/>
        <v>C</v>
      </c>
      <c r="I71" s="199" t="s">
        <v>541</v>
      </c>
      <c r="J71" s="199" t="s">
        <v>542</v>
      </c>
      <c r="K71" s="200">
        <v>1</v>
      </c>
      <c r="L71" s="200">
        <v>100</v>
      </c>
      <c r="M71" s="200">
        <v>1</v>
      </c>
      <c r="N71" s="199" t="s">
        <v>64</v>
      </c>
      <c r="O71" s="199" t="s">
        <v>292</v>
      </c>
      <c r="P71" s="212" t="s">
        <v>55</v>
      </c>
      <c r="Q71" s="199" t="s">
        <v>544</v>
      </c>
      <c r="R71" s="199" t="s">
        <v>233</v>
      </c>
      <c r="S71" s="201"/>
      <c r="T71" s="201"/>
      <c r="U71" s="200">
        <v>0.75</v>
      </c>
      <c r="V71" s="298">
        <v>47820</v>
      </c>
      <c r="W71" s="298">
        <f t="shared" si="45"/>
        <v>35865</v>
      </c>
      <c r="X71" s="202">
        <f t="shared" si="46"/>
        <v>25767.383619814129</v>
      </c>
      <c r="Y71" s="200">
        <f t="shared" si="47"/>
        <v>61632.383619814129</v>
      </c>
      <c r="Z71" s="203">
        <f t="shared" si="39"/>
        <v>167.39999999999998</v>
      </c>
      <c r="AA71" s="203">
        <f t="shared" si="34"/>
        <v>64.349999999999994</v>
      </c>
      <c r="AB71" s="203">
        <f t="shared" si="40"/>
        <v>12141</v>
      </c>
      <c r="AC71" s="203">
        <f t="shared" si="35"/>
        <v>972.50394981412626</v>
      </c>
      <c r="AD71" s="203"/>
      <c r="AE71" s="203">
        <f t="shared" si="36"/>
        <v>702.95399999999995</v>
      </c>
      <c r="AF71" s="203"/>
      <c r="AG71" s="203">
        <f t="shared" si="48"/>
        <v>520.04250000000002</v>
      </c>
      <c r="AH71" s="203">
        <f t="shared" si="49"/>
        <v>353.55717000000004</v>
      </c>
      <c r="AI71" s="203"/>
      <c r="AJ71" s="204">
        <f t="shared" si="37"/>
        <v>355.06350000000003</v>
      </c>
      <c r="AK71" s="203">
        <f t="shared" si="50"/>
        <v>17.932500000000001</v>
      </c>
      <c r="AL71" s="203"/>
      <c r="AM71" s="204">
        <f t="shared" si="41"/>
        <v>2223.63</v>
      </c>
      <c r="AN71" s="203">
        <f t="shared" si="42"/>
        <v>8248.9500000000007</v>
      </c>
      <c r="AO71" s="217">
        <f t="shared" si="43"/>
        <v>874.75609756097401</v>
      </c>
      <c r="AP71" s="217">
        <f t="shared" si="44"/>
        <v>0</v>
      </c>
    </row>
    <row r="72" spans="2:42" ht="13.5" hidden="1" thickBot="1">
      <c r="B72" s="199" t="s">
        <v>742</v>
      </c>
      <c r="C72" s="199" t="s">
        <v>743</v>
      </c>
      <c r="D72" s="199" t="s">
        <v>744</v>
      </c>
      <c r="E72" s="199" t="s">
        <v>745</v>
      </c>
      <c r="F72" s="199" t="s">
        <v>746</v>
      </c>
      <c r="G72" s="200">
        <v>6</v>
      </c>
      <c r="H72" s="197" t="str">
        <f t="shared" si="38"/>
        <v>C</v>
      </c>
      <c r="I72" s="199" t="s">
        <v>541</v>
      </c>
      <c r="J72" s="199" t="s">
        <v>542</v>
      </c>
      <c r="K72" s="200">
        <v>1</v>
      </c>
      <c r="L72" s="200">
        <v>100</v>
      </c>
      <c r="M72" s="200">
        <v>1</v>
      </c>
      <c r="N72" s="199" t="s">
        <v>64</v>
      </c>
      <c r="O72" s="199" t="s">
        <v>367</v>
      </c>
      <c r="P72" s="212" t="s">
        <v>57</v>
      </c>
      <c r="Q72" s="199" t="s">
        <v>544</v>
      </c>
      <c r="R72" s="199" t="s">
        <v>345</v>
      </c>
      <c r="S72" s="201"/>
      <c r="T72" s="201"/>
      <c r="U72" s="200">
        <v>1</v>
      </c>
      <c r="V72" s="298">
        <v>56843.040000000001</v>
      </c>
      <c r="W72" s="298">
        <f t="shared" si="45"/>
        <v>56843.040000000001</v>
      </c>
      <c r="X72" s="202">
        <f t="shared" si="46"/>
        <v>37481.7135814055</v>
      </c>
      <c r="Y72" s="200">
        <f t="shared" si="47"/>
        <v>94324.753581405501</v>
      </c>
      <c r="Z72" s="203">
        <f t="shared" si="39"/>
        <v>223.2</v>
      </c>
      <c r="AA72" s="203">
        <f t="shared" si="34"/>
        <v>85.8</v>
      </c>
      <c r="AB72" s="203">
        <f t="shared" si="40"/>
        <v>16188</v>
      </c>
      <c r="AC72" s="203">
        <f t="shared" si="35"/>
        <v>1296.6719330855017</v>
      </c>
      <c r="AD72" s="203"/>
      <c r="AE72" s="203">
        <f t="shared" si="36"/>
        <v>1114.1235839999999</v>
      </c>
      <c r="AF72" s="203"/>
      <c r="AG72" s="203">
        <f t="shared" si="48"/>
        <v>824.22408000000007</v>
      </c>
      <c r="AH72" s="203">
        <f t="shared" si="49"/>
        <v>560.35868832000006</v>
      </c>
      <c r="AI72" s="203"/>
      <c r="AJ72" s="204">
        <f t="shared" si="37"/>
        <v>562.74609600000008</v>
      </c>
      <c r="AK72" s="203">
        <f t="shared" si="50"/>
        <v>28.421520000000001</v>
      </c>
      <c r="AL72" s="203"/>
      <c r="AM72" s="204">
        <f t="shared" si="41"/>
        <v>3524.2684800000002</v>
      </c>
      <c r="AN72" s="203">
        <f t="shared" si="42"/>
        <v>13073.899200000002</v>
      </c>
      <c r="AO72" s="217">
        <f t="shared" si="43"/>
        <v>1386.4156097560917</v>
      </c>
      <c r="AP72" s="217">
        <f t="shared" si="44"/>
        <v>0</v>
      </c>
    </row>
    <row r="73" spans="2:42" ht="13.5" hidden="1" thickBot="1">
      <c r="B73" s="199" t="s">
        <v>747</v>
      </c>
      <c r="C73" s="199" t="s">
        <v>678</v>
      </c>
      <c r="D73" s="199" t="s">
        <v>748</v>
      </c>
      <c r="E73" s="199" t="s">
        <v>749</v>
      </c>
      <c r="F73" s="199" t="s">
        <v>553</v>
      </c>
      <c r="G73" s="200">
        <v>3</v>
      </c>
      <c r="H73" s="197" t="str">
        <f t="shared" si="38"/>
        <v>C</v>
      </c>
      <c r="I73" s="199" t="s">
        <v>541</v>
      </c>
      <c r="J73" s="199" t="s">
        <v>542</v>
      </c>
      <c r="K73" s="200">
        <v>1</v>
      </c>
      <c r="L73" s="200">
        <v>100</v>
      </c>
      <c r="M73" s="200">
        <v>1</v>
      </c>
      <c r="N73" s="199" t="s">
        <v>64</v>
      </c>
      <c r="O73" s="199" t="s">
        <v>367</v>
      </c>
      <c r="P73" s="212" t="s">
        <v>57</v>
      </c>
      <c r="Q73" s="199" t="s">
        <v>544</v>
      </c>
      <c r="R73" s="199" t="s">
        <v>345</v>
      </c>
      <c r="S73" s="201"/>
      <c r="T73" s="201"/>
      <c r="U73" s="200">
        <v>1</v>
      </c>
      <c r="V73" s="298">
        <v>50240.88</v>
      </c>
      <c r="W73" s="298">
        <f t="shared" si="45"/>
        <v>50240.88</v>
      </c>
      <c r="X73" s="202">
        <f t="shared" si="46"/>
        <v>35195.002648125497</v>
      </c>
      <c r="Y73" s="200">
        <f t="shared" si="47"/>
        <v>85435.882648125495</v>
      </c>
      <c r="Z73" s="203">
        <f t="shared" si="39"/>
        <v>223.2</v>
      </c>
      <c r="AA73" s="203">
        <f t="shared" si="34"/>
        <v>85.8</v>
      </c>
      <c r="AB73" s="203">
        <f t="shared" si="40"/>
        <v>16188</v>
      </c>
      <c r="AC73" s="203">
        <f t="shared" si="35"/>
        <v>1296.6719330855017</v>
      </c>
      <c r="AD73" s="203"/>
      <c r="AE73" s="203">
        <f t="shared" si="36"/>
        <v>984.72124799999995</v>
      </c>
      <c r="AF73" s="203"/>
      <c r="AG73" s="203">
        <f t="shared" si="48"/>
        <v>728.49275999999998</v>
      </c>
      <c r="AH73" s="203">
        <f t="shared" si="49"/>
        <v>495.27459504000001</v>
      </c>
      <c r="AI73" s="203"/>
      <c r="AJ73" s="204">
        <f t="shared" si="37"/>
        <v>497.38471200000004</v>
      </c>
      <c r="AK73" s="203">
        <f t="shared" si="50"/>
        <v>25.120439999999999</v>
      </c>
      <c r="AL73" s="203"/>
      <c r="AM73" s="204">
        <f t="shared" si="41"/>
        <v>3114.9345599999997</v>
      </c>
      <c r="AN73" s="203">
        <f t="shared" si="42"/>
        <v>11555.402399999999</v>
      </c>
      <c r="AO73" s="217">
        <f t="shared" si="43"/>
        <v>1225.3873170731677</v>
      </c>
      <c r="AP73" s="217">
        <f t="shared" si="44"/>
        <v>0</v>
      </c>
    </row>
    <row r="74" spans="2:42" s="351" customFormat="1" ht="13.5" thickBot="1">
      <c r="B74" s="249" t="s">
        <v>429</v>
      </c>
      <c r="C74" s="249" t="s">
        <v>430</v>
      </c>
      <c r="D74" s="249"/>
      <c r="E74" s="249" t="s">
        <v>750</v>
      </c>
      <c r="F74" s="249" t="s">
        <v>630</v>
      </c>
      <c r="G74" s="250">
        <v>3</v>
      </c>
      <c r="H74" s="250" t="str">
        <f t="shared" si="38"/>
        <v>C</v>
      </c>
      <c r="I74" s="249" t="s">
        <v>541</v>
      </c>
      <c r="J74" s="249" t="s">
        <v>542</v>
      </c>
      <c r="K74" s="250">
        <v>1</v>
      </c>
      <c r="L74" s="250">
        <v>100</v>
      </c>
      <c r="M74" s="250">
        <v>1</v>
      </c>
      <c r="N74" s="249" t="s">
        <v>64</v>
      </c>
      <c r="O74" s="249" t="s">
        <v>328</v>
      </c>
      <c r="P74" s="352" t="s">
        <v>56</v>
      </c>
      <c r="Q74" s="249" t="s">
        <v>544</v>
      </c>
      <c r="R74" s="249" t="s">
        <v>323</v>
      </c>
      <c r="S74" s="251"/>
      <c r="T74" s="251"/>
      <c r="U74" s="250">
        <v>1</v>
      </c>
      <c r="V74" s="303">
        <v>78358.679999999993</v>
      </c>
      <c r="W74" s="303">
        <f t="shared" si="45"/>
        <v>78358.679999999993</v>
      </c>
      <c r="X74" s="252">
        <f t="shared" si="46"/>
        <v>44811.476688525509</v>
      </c>
      <c r="Y74" s="250">
        <f t="shared" si="47"/>
        <v>123170.1566885255</v>
      </c>
      <c r="Z74" s="253">
        <f t="shared" si="39"/>
        <v>223.2</v>
      </c>
      <c r="AA74" s="253">
        <f t="shared" si="34"/>
        <v>85.8</v>
      </c>
      <c r="AB74" s="253">
        <f t="shared" si="40"/>
        <v>16188</v>
      </c>
      <c r="AC74" s="253">
        <f t="shared" si="35"/>
        <v>1296.6719330855017</v>
      </c>
      <c r="AD74" s="253"/>
      <c r="AE74" s="253">
        <f t="shared" si="36"/>
        <v>1535.8301279999998</v>
      </c>
      <c r="AF74" s="253"/>
      <c r="AG74" s="253">
        <f t="shared" si="48"/>
        <v>1136.2008599999999</v>
      </c>
      <c r="AH74" s="253">
        <f t="shared" si="49"/>
        <v>772.45986743999993</v>
      </c>
      <c r="AI74" s="253"/>
      <c r="AJ74" s="254">
        <f t="shared" si="37"/>
        <v>653.40000000000009</v>
      </c>
      <c r="AK74" s="253">
        <f t="shared" si="50"/>
        <v>39.179339999999996</v>
      </c>
      <c r="AL74" s="253"/>
      <c r="AM74" s="254">
        <f t="shared" si="41"/>
        <v>4858.2381599999999</v>
      </c>
      <c r="AN74" s="253">
        <f t="shared" si="42"/>
        <v>18022.4964</v>
      </c>
      <c r="AO74" s="353">
        <f t="shared" si="43"/>
        <v>1911.1873170731706</v>
      </c>
      <c r="AP74" s="353">
        <f t="shared" si="44"/>
        <v>0</v>
      </c>
    </row>
    <row r="75" spans="2:42" s="351" customFormat="1" ht="13.5" thickBot="1">
      <c r="B75" s="249" t="s">
        <v>429</v>
      </c>
      <c r="C75" s="249" t="s">
        <v>30</v>
      </c>
      <c r="D75" s="249"/>
      <c r="E75" s="249" t="s">
        <v>751</v>
      </c>
      <c r="F75" s="249" t="s">
        <v>630</v>
      </c>
      <c r="G75" s="250">
        <v>3</v>
      </c>
      <c r="H75" s="250" t="str">
        <f t="shared" ref="H75" si="51">LEFT(I75,1)</f>
        <v>C</v>
      </c>
      <c r="I75" s="249" t="s">
        <v>541</v>
      </c>
      <c r="J75" s="249" t="s">
        <v>542</v>
      </c>
      <c r="K75" s="250">
        <v>1</v>
      </c>
      <c r="L75" s="250">
        <v>100</v>
      </c>
      <c r="M75" s="250">
        <v>1</v>
      </c>
      <c r="N75" s="249" t="s">
        <v>64</v>
      </c>
      <c r="O75" s="249" t="s">
        <v>328</v>
      </c>
      <c r="P75" s="352" t="s">
        <v>56</v>
      </c>
      <c r="Q75" s="249" t="s">
        <v>544</v>
      </c>
      <c r="R75" s="249" t="s">
        <v>323</v>
      </c>
      <c r="S75" s="251"/>
      <c r="T75" s="251"/>
      <c r="U75" s="250">
        <v>1</v>
      </c>
      <c r="V75" s="303">
        <v>78358.679999999993</v>
      </c>
      <c r="W75" s="303">
        <f t="shared" ref="W75" si="52">+V75*U75</f>
        <v>78358.679999999993</v>
      </c>
      <c r="X75" s="252">
        <f t="shared" ref="X75" si="53">SUM(Z75:AN75)</f>
        <v>44811.476688525509</v>
      </c>
      <c r="Y75" s="250">
        <f t="shared" ref="Y75" si="54">+W75+X75</f>
        <v>123170.1566885255</v>
      </c>
      <c r="Z75" s="253">
        <f t="shared" ref="Z75" si="55">+$Z$4*U75</f>
        <v>223.2</v>
      </c>
      <c r="AA75" s="253">
        <f t="shared" ref="AA75" si="56">+$AA$4*U75</f>
        <v>85.8</v>
      </c>
      <c r="AB75" s="253">
        <f t="shared" ref="AB75" si="57">+$AB$4*U75</f>
        <v>16188</v>
      </c>
      <c r="AC75" s="253">
        <f t="shared" ref="AC75" si="58">+$AC$4*U75</f>
        <v>1296.6719330855017</v>
      </c>
      <c r="AD75" s="253"/>
      <c r="AE75" s="253">
        <f t="shared" ref="AE75" si="59">+W75*$AE$4</f>
        <v>1535.8301279999998</v>
      </c>
      <c r="AF75" s="253"/>
      <c r="AG75" s="253">
        <f t="shared" ref="AG75" si="60">+W75*$AG$4</f>
        <v>1136.2008599999999</v>
      </c>
      <c r="AH75" s="253">
        <f t="shared" ref="AH75" si="61">+W75*$AH$4</f>
        <v>772.45986743999993</v>
      </c>
      <c r="AI75" s="253"/>
      <c r="AJ75" s="254">
        <f t="shared" ref="AJ75" si="62">SUM(IF(V75&gt;65999,((66000*$AJ$4)*U75),(IF(V75&lt;66000,($AJ$4*(W75))))))</f>
        <v>653.40000000000009</v>
      </c>
      <c r="AK75" s="253">
        <f t="shared" ref="AK75" si="63">+W75*$AK$4</f>
        <v>39.179339999999996</v>
      </c>
      <c r="AL75" s="253"/>
      <c r="AM75" s="254">
        <f t="shared" ref="AM75" si="64">SUM(IF(V75&gt;132900,((132900*$AM$4)*U75),(IF(V75&lt;132900,($AM$4*(W75))))))</f>
        <v>4858.2381599999999</v>
      </c>
      <c r="AN75" s="253">
        <f t="shared" ref="AN75" si="65">+W75*$AN$4</f>
        <v>18022.4964</v>
      </c>
      <c r="AO75" s="353">
        <f t="shared" ref="AO75" si="66">IF(H75="C",IF(G75&lt;15,W75-(W75/1.025),0),0)</f>
        <v>1911.1873170731706</v>
      </c>
      <c r="AP75" s="353">
        <f t="shared" ref="AP75" si="67">IF(H75="M",IF(G75&lt;15,W75-(W75/1.025),0),0)</f>
        <v>0</v>
      </c>
    </row>
    <row r="76" spans="2:42" ht="13.5" thickBot="1">
      <c r="B76" s="199" t="s">
        <v>468</v>
      </c>
      <c r="C76" s="199" t="s">
        <v>458</v>
      </c>
      <c r="D76" s="199" t="s">
        <v>752</v>
      </c>
      <c r="E76" s="199" t="s">
        <v>753</v>
      </c>
      <c r="F76" s="199" t="s">
        <v>662</v>
      </c>
      <c r="G76" s="200">
        <v>11</v>
      </c>
      <c r="H76" s="197" t="str">
        <f t="shared" si="38"/>
        <v>C</v>
      </c>
      <c r="I76" s="199" t="s">
        <v>541</v>
      </c>
      <c r="J76" s="199" t="s">
        <v>542</v>
      </c>
      <c r="K76" s="200">
        <v>1</v>
      </c>
      <c r="L76" s="200">
        <v>100</v>
      </c>
      <c r="M76" s="200">
        <v>1</v>
      </c>
      <c r="N76" s="199" t="s">
        <v>64</v>
      </c>
      <c r="O76" s="199" t="s">
        <v>333</v>
      </c>
      <c r="P76" s="212" t="s">
        <v>56</v>
      </c>
      <c r="Q76" s="199" t="s">
        <v>544</v>
      </c>
      <c r="R76" s="199" t="s">
        <v>323</v>
      </c>
      <c r="S76" s="201"/>
      <c r="T76" s="201"/>
      <c r="U76" s="200">
        <v>1</v>
      </c>
      <c r="V76" s="298">
        <v>93143.88</v>
      </c>
      <c r="W76" s="298">
        <f t="shared" si="45"/>
        <v>93143.88</v>
      </c>
      <c r="X76" s="202">
        <f t="shared" si="46"/>
        <v>49786.075510125505</v>
      </c>
      <c r="Y76" s="200">
        <f t="shared" si="47"/>
        <v>142929.9555101255</v>
      </c>
      <c r="Z76" s="203">
        <f t="shared" si="39"/>
        <v>223.2</v>
      </c>
      <c r="AA76" s="203">
        <f t="shared" si="34"/>
        <v>85.8</v>
      </c>
      <c r="AB76" s="203">
        <f t="shared" si="40"/>
        <v>16188</v>
      </c>
      <c r="AC76" s="203">
        <f t="shared" si="35"/>
        <v>1296.6719330855017</v>
      </c>
      <c r="AD76" s="203"/>
      <c r="AE76" s="203">
        <f t="shared" si="36"/>
        <v>1825.620048</v>
      </c>
      <c r="AF76" s="203"/>
      <c r="AG76" s="203">
        <f t="shared" si="48"/>
        <v>1350.58626</v>
      </c>
      <c r="AH76" s="203">
        <f t="shared" si="49"/>
        <v>918.21236904000011</v>
      </c>
      <c r="AI76" s="203"/>
      <c r="AJ76" s="204">
        <f t="shared" si="37"/>
        <v>653.40000000000009</v>
      </c>
      <c r="AK76" s="203">
        <f t="shared" si="50"/>
        <v>46.571940000000005</v>
      </c>
      <c r="AL76" s="203"/>
      <c r="AM76" s="204">
        <f t="shared" si="41"/>
        <v>5774.9205600000005</v>
      </c>
      <c r="AN76" s="203">
        <f t="shared" si="42"/>
        <v>21423.092400000001</v>
      </c>
      <c r="AO76" s="217">
        <f t="shared" si="43"/>
        <v>2271.8019512195024</v>
      </c>
      <c r="AP76" s="217">
        <f t="shared" si="44"/>
        <v>0</v>
      </c>
    </row>
    <row r="77" spans="2:42" ht="13.5" hidden="1" thickBot="1">
      <c r="B77" s="198" t="s">
        <v>754</v>
      </c>
      <c r="C77" s="198" t="s">
        <v>714</v>
      </c>
      <c r="D77" s="205" t="s">
        <v>755</v>
      </c>
      <c r="E77" s="230" t="s">
        <v>756</v>
      </c>
      <c r="F77" s="230" t="s">
        <v>757</v>
      </c>
      <c r="G77" s="230">
        <v>2</v>
      </c>
      <c r="H77" s="197" t="str">
        <f t="shared" si="38"/>
        <v>C</v>
      </c>
      <c r="I77" s="198" t="s">
        <v>541</v>
      </c>
      <c r="J77" s="198" t="s">
        <v>542</v>
      </c>
      <c r="K77" s="197">
        <v>1</v>
      </c>
      <c r="L77" s="197">
        <v>100</v>
      </c>
      <c r="M77" s="197">
        <v>1</v>
      </c>
      <c r="N77" s="198" t="s">
        <v>64</v>
      </c>
      <c r="O77" s="198" t="s">
        <v>288</v>
      </c>
      <c r="P77" s="212" t="s">
        <v>55</v>
      </c>
      <c r="Q77" s="198" t="s">
        <v>544</v>
      </c>
      <c r="R77" s="198" t="s">
        <v>233</v>
      </c>
      <c r="S77" s="205"/>
      <c r="T77" s="205"/>
      <c r="U77" s="197">
        <v>1</v>
      </c>
      <c r="V77" s="296">
        <v>59720.643399999964</v>
      </c>
      <c r="W77" s="296">
        <f t="shared" si="45"/>
        <v>59720.643399999964</v>
      </c>
      <c r="X77" s="206">
        <f t="shared" si="46"/>
        <v>38478.394539822686</v>
      </c>
      <c r="Y77" s="197">
        <f t="shared" si="47"/>
        <v>98199.037939822651</v>
      </c>
      <c r="Z77" s="207">
        <f t="shared" si="39"/>
        <v>223.2</v>
      </c>
      <c r="AA77" s="207">
        <f t="shared" si="34"/>
        <v>85.8</v>
      </c>
      <c r="AB77" s="207">
        <f t="shared" si="40"/>
        <v>16188</v>
      </c>
      <c r="AC77" s="207">
        <f t="shared" si="35"/>
        <v>1296.6719330855017</v>
      </c>
      <c r="AD77" s="207"/>
      <c r="AE77" s="207">
        <f t="shared" si="36"/>
        <v>1170.5246106399993</v>
      </c>
      <c r="AF77" s="207"/>
      <c r="AG77" s="207">
        <f t="shared" si="48"/>
        <v>865.94932929999948</v>
      </c>
      <c r="AH77" s="207">
        <f t="shared" si="49"/>
        <v>588.72610263719969</v>
      </c>
      <c r="AI77" s="207"/>
      <c r="AJ77" s="204">
        <f t="shared" si="37"/>
        <v>591.23436965999974</v>
      </c>
      <c r="AK77" s="207">
        <f t="shared" si="50"/>
        <v>29.860321699999982</v>
      </c>
      <c r="AL77" s="207"/>
      <c r="AM77" s="204">
        <f t="shared" si="41"/>
        <v>3702.6798907999978</v>
      </c>
      <c r="AN77" s="207">
        <f t="shared" si="42"/>
        <v>13735.747981999992</v>
      </c>
      <c r="AO77" s="217">
        <f t="shared" si="43"/>
        <v>1456.6010585365802</v>
      </c>
      <c r="AP77" s="217">
        <f t="shared" si="44"/>
        <v>0</v>
      </c>
    </row>
    <row r="78" spans="2:42" ht="13.5" thickBot="1">
      <c r="B78" s="199" t="s">
        <v>469</v>
      </c>
      <c r="C78" s="199" t="s">
        <v>470</v>
      </c>
      <c r="D78" s="199" t="s">
        <v>758</v>
      </c>
      <c r="E78" s="199" t="s">
        <v>759</v>
      </c>
      <c r="F78" s="199" t="s">
        <v>760</v>
      </c>
      <c r="G78" s="200">
        <v>3</v>
      </c>
      <c r="H78" s="197" t="str">
        <f t="shared" si="38"/>
        <v>C</v>
      </c>
      <c r="I78" s="199" t="s">
        <v>541</v>
      </c>
      <c r="J78" s="199" t="s">
        <v>542</v>
      </c>
      <c r="K78" s="200">
        <v>1</v>
      </c>
      <c r="L78" s="200">
        <v>100</v>
      </c>
      <c r="M78" s="200">
        <v>1</v>
      </c>
      <c r="N78" s="199" t="s">
        <v>64</v>
      </c>
      <c r="O78" s="199" t="s">
        <v>328</v>
      </c>
      <c r="P78" s="212" t="s">
        <v>56</v>
      </c>
      <c r="Q78" s="199" t="s">
        <v>544</v>
      </c>
      <c r="R78" s="199" t="s">
        <v>323</v>
      </c>
      <c r="S78" s="201"/>
      <c r="T78" s="201"/>
      <c r="U78" s="200">
        <v>1</v>
      </c>
      <c r="V78" s="298">
        <v>64312.68</v>
      </c>
      <c r="W78" s="298">
        <f t="shared" si="45"/>
        <v>64312.68</v>
      </c>
      <c r="X78" s="202">
        <f t="shared" si="46"/>
        <v>40068.883152525501</v>
      </c>
      <c r="Y78" s="200">
        <f t="shared" si="47"/>
        <v>104381.5631525255</v>
      </c>
      <c r="Z78" s="203">
        <f t="shared" si="39"/>
        <v>223.2</v>
      </c>
      <c r="AA78" s="203">
        <f t="shared" si="34"/>
        <v>85.8</v>
      </c>
      <c r="AB78" s="203">
        <f t="shared" si="40"/>
        <v>16188</v>
      </c>
      <c r="AC78" s="203">
        <f t="shared" si="35"/>
        <v>1296.6719330855017</v>
      </c>
      <c r="AD78" s="203"/>
      <c r="AE78" s="203">
        <f t="shared" si="36"/>
        <v>1260.5285280000001</v>
      </c>
      <c r="AF78" s="203"/>
      <c r="AG78" s="203">
        <f t="shared" si="48"/>
        <v>932.53386</v>
      </c>
      <c r="AH78" s="203">
        <f t="shared" si="49"/>
        <v>633.99439944000005</v>
      </c>
      <c r="AI78" s="203"/>
      <c r="AJ78" s="204">
        <f t="shared" si="37"/>
        <v>636.69553200000007</v>
      </c>
      <c r="AK78" s="203">
        <f t="shared" si="50"/>
        <v>32.15634</v>
      </c>
      <c r="AL78" s="203"/>
      <c r="AM78" s="204">
        <f t="shared" si="41"/>
        <v>3987.38616</v>
      </c>
      <c r="AN78" s="203">
        <f t="shared" si="42"/>
        <v>14791.9164</v>
      </c>
      <c r="AO78" s="217">
        <f t="shared" si="43"/>
        <v>1568.6019512195053</v>
      </c>
      <c r="AP78" s="217">
        <f t="shared" si="44"/>
        <v>0</v>
      </c>
    </row>
    <row r="79" spans="2:42" ht="13.5" hidden="1" thickBot="1">
      <c r="B79" s="198" t="s">
        <v>761</v>
      </c>
      <c r="C79" s="198" t="s">
        <v>678</v>
      </c>
      <c r="D79" s="198" t="s">
        <v>762</v>
      </c>
      <c r="E79" s="198" t="s">
        <v>763</v>
      </c>
      <c r="F79" s="198" t="s">
        <v>553</v>
      </c>
      <c r="G79" s="197">
        <v>3</v>
      </c>
      <c r="H79" s="197" t="str">
        <f t="shared" si="38"/>
        <v>C</v>
      </c>
      <c r="I79" s="198" t="s">
        <v>541</v>
      </c>
      <c r="J79" s="198" t="s">
        <v>542</v>
      </c>
      <c r="K79" s="197">
        <v>1</v>
      </c>
      <c r="L79" s="197">
        <v>100</v>
      </c>
      <c r="M79" s="197">
        <v>1</v>
      </c>
      <c r="N79" s="198" t="s">
        <v>64</v>
      </c>
      <c r="O79" s="198" t="s">
        <v>369</v>
      </c>
      <c r="P79" s="212" t="s">
        <v>57</v>
      </c>
      <c r="Q79" s="198" t="s">
        <v>544</v>
      </c>
      <c r="R79" s="198" t="s">
        <v>345</v>
      </c>
      <c r="S79" s="205"/>
      <c r="T79" s="205"/>
      <c r="U79" s="197">
        <v>1</v>
      </c>
      <c r="V79" s="296">
        <v>50240.907599999999</v>
      </c>
      <c r="W79" s="296">
        <f t="shared" si="45"/>
        <v>50240.907599999999</v>
      </c>
      <c r="X79" s="206">
        <f t="shared" si="46"/>
        <v>35195.012207606298</v>
      </c>
      <c r="Y79" s="197">
        <f t="shared" si="47"/>
        <v>85435.919807606289</v>
      </c>
      <c r="Z79" s="207">
        <f t="shared" si="39"/>
        <v>223.2</v>
      </c>
      <c r="AA79" s="207">
        <f t="shared" si="34"/>
        <v>85.8</v>
      </c>
      <c r="AB79" s="207">
        <f t="shared" si="40"/>
        <v>16188</v>
      </c>
      <c r="AC79" s="207">
        <f t="shared" si="35"/>
        <v>1296.6719330855017</v>
      </c>
      <c r="AD79" s="207"/>
      <c r="AE79" s="207">
        <f t="shared" si="36"/>
        <v>984.72178895999991</v>
      </c>
      <c r="AF79" s="207"/>
      <c r="AG79" s="207">
        <f t="shared" si="48"/>
        <v>728.49316020000003</v>
      </c>
      <c r="AH79" s="207">
        <f t="shared" si="49"/>
        <v>495.27486712080002</v>
      </c>
      <c r="AI79" s="207"/>
      <c r="AJ79" s="204">
        <f t="shared" si="37"/>
        <v>497.38498524000005</v>
      </c>
      <c r="AK79" s="207">
        <f t="shared" si="50"/>
        <v>25.1204538</v>
      </c>
      <c r="AL79" s="207"/>
      <c r="AM79" s="204">
        <f t="shared" si="41"/>
        <v>3114.9362711999997</v>
      </c>
      <c r="AN79" s="207">
        <f t="shared" si="42"/>
        <v>11555.408748</v>
      </c>
      <c r="AO79" s="217">
        <f t="shared" ref="AO79" si="68">IF(H79="C",IF(G79&lt;15,W79-(W79/1.025),0),0)</f>
        <v>1225.3879902439003</v>
      </c>
      <c r="AP79" s="217">
        <f t="shared" ref="AP79" si="69">IF(H79="M",IF(G79&lt;15,W79-(W79/1.025),0),0)</f>
        <v>0</v>
      </c>
    </row>
    <row r="80" spans="2:42" ht="13.5" hidden="1" thickBot="1">
      <c r="B80" s="198" t="s">
        <v>764</v>
      </c>
      <c r="C80" s="198" t="s">
        <v>678</v>
      </c>
      <c r="D80" s="198"/>
      <c r="E80" s="198" t="s">
        <v>765</v>
      </c>
      <c r="F80" s="198" t="s">
        <v>553</v>
      </c>
      <c r="G80" s="197">
        <v>3</v>
      </c>
      <c r="H80" s="197" t="str">
        <f t="shared" si="38"/>
        <v>C</v>
      </c>
      <c r="I80" s="198" t="s">
        <v>541</v>
      </c>
      <c r="J80" s="198" t="s">
        <v>542</v>
      </c>
      <c r="K80" s="197">
        <v>1</v>
      </c>
      <c r="L80" s="197">
        <v>100</v>
      </c>
      <c r="M80" s="197">
        <v>1</v>
      </c>
      <c r="N80" s="198" t="s">
        <v>64</v>
      </c>
      <c r="O80" s="198" t="s">
        <v>369</v>
      </c>
      <c r="P80" s="212" t="s">
        <v>57</v>
      </c>
      <c r="Q80" s="198" t="s">
        <v>544</v>
      </c>
      <c r="R80" s="198" t="s">
        <v>345</v>
      </c>
      <c r="S80" s="205"/>
      <c r="T80" s="205"/>
      <c r="U80" s="197">
        <v>1</v>
      </c>
      <c r="V80" s="296">
        <v>50240.907599999999</v>
      </c>
      <c r="W80" s="296">
        <f t="shared" si="45"/>
        <v>50240.907599999999</v>
      </c>
      <c r="X80" s="206">
        <f t="shared" si="46"/>
        <v>35195.012207606298</v>
      </c>
      <c r="Y80" s="197">
        <f t="shared" si="47"/>
        <v>85435.919807606289</v>
      </c>
      <c r="Z80" s="207">
        <f t="shared" si="39"/>
        <v>223.2</v>
      </c>
      <c r="AA80" s="207">
        <f t="shared" si="34"/>
        <v>85.8</v>
      </c>
      <c r="AB80" s="207">
        <f t="shared" si="40"/>
        <v>16188</v>
      </c>
      <c r="AC80" s="207">
        <f t="shared" si="35"/>
        <v>1296.6719330855017</v>
      </c>
      <c r="AD80" s="207"/>
      <c r="AE80" s="207">
        <f t="shared" si="36"/>
        <v>984.72178895999991</v>
      </c>
      <c r="AF80" s="207"/>
      <c r="AG80" s="207">
        <f t="shared" si="48"/>
        <v>728.49316020000003</v>
      </c>
      <c r="AH80" s="207">
        <f t="shared" si="49"/>
        <v>495.27486712080002</v>
      </c>
      <c r="AI80" s="207"/>
      <c r="AJ80" s="204">
        <f t="shared" si="37"/>
        <v>497.38498524000005</v>
      </c>
      <c r="AK80" s="207">
        <f t="shared" si="50"/>
        <v>25.1204538</v>
      </c>
      <c r="AL80" s="207"/>
      <c r="AM80" s="204">
        <f t="shared" si="41"/>
        <v>3114.9362711999997</v>
      </c>
      <c r="AN80" s="207">
        <f t="shared" si="42"/>
        <v>11555.408748</v>
      </c>
      <c r="AO80" s="217">
        <f t="shared" si="43"/>
        <v>1225.3879902439003</v>
      </c>
      <c r="AP80" s="217">
        <f t="shared" si="44"/>
        <v>0</v>
      </c>
    </row>
    <row r="81" spans="2:43" ht="13.5" thickBot="1">
      <c r="B81" s="199" t="s">
        <v>471</v>
      </c>
      <c r="C81" s="199" t="s">
        <v>458</v>
      </c>
      <c r="D81" s="199" t="s">
        <v>766</v>
      </c>
      <c r="E81" s="199" t="s">
        <v>767</v>
      </c>
      <c r="F81" s="199" t="s">
        <v>662</v>
      </c>
      <c r="G81" s="200">
        <v>5</v>
      </c>
      <c r="H81" s="197" t="str">
        <f t="shared" si="38"/>
        <v>C</v>
      </c>
      <c r="I81" s="199" t="s">
        <v>541</v>
      </c>
      <c r="J81" s="199" t="s">
        <v>542</v>
      </c>
      <c r="K81" s="200">
        <v>1</v>
      </c>
      <c r="L81" s="200">
        <v>100</v>
      </c>
      <c r="M81" s="200">
        <v>1</v>
      </c>
      <c r="N81" s="199" t="s">
        <v>64</v>
      </c>
      <c r="O81" s="199" t="s">
        <v>333</v>
      </c>
      <c r="P81" s="212" t="s">
        <v>56</v>
      </c>
      <c r="Q81" s="199" t="s">
        <v>544</v>
      </c>
      <c r="R81" s="199" t="s">
        <v>323</v>
      </c>
      <c r="S81" s="201"/>
      <c r="T81" s="201"/>
      <c r="U81" s="200">
        <v>1</v>
      </c>
      <c r="V81" s="298">
        <v>80317.679999999993</v>
      </c>
      <c r="W81" s="298">
        <f t="shared" si="45"/>
        <v>80317.679999999993</v>
      </c>
      <c r="X81" s="202">
        <f t="shared" si="46"/>
        <v>45470.597910525503</v>
      </c>
      <c r="Y81" s="200">
        <f t="shared" si="47"/>
        <v>125788.2779105255</v>
      </c>
      <c r="Z81" s="203">
        <f t="shared" si="39"/>
        <v>223.2</v>
      </c>
      <c r="AA81" s="203">
        <f t="shared" si="34"/>
        <v>85.8</v>
      </c>
      <c r="AB81" s="203">
        <f t="shared" si="40"/>
        <v>16188</v>
      </c>
      <c r="AC81" s="203">
        <f t="shared" si="35"/>
        <v>1296.6719330855017</v>
      </c>
      <c r="AD81" s="203"/>
      <c r="AE81" s="203">
        <f t="shared" si="36"/>
        <v>1574.2265279999999</v>
      </c>
      <c r="AF81" s="203"/>
      <c r="AG81" s="203">
        <f t="shared" si="48"/>
        <v>1164.60636</v>
      </c>
      <c r="AH81" s="203">
        <f t="shared" si="49"/>
        <v>791.77168943999993</v>
      </c>
      <c r="AI81" s="203"/>
      <c r="AJ81" s="204">
        <f t="shared" si="37"/>
        <v>653.40000000000009</v>
      </c>
      <c r="AK81" s="203">
        <f t="shared" si="50"/>
        <v>40.158839999999998</v>
      </c>
      <c r="AL81" s="203"/>
      <c r="AM81" s="204">
        <f t="shared" si="41"/>
        <v>4979.6961599999995</v>
      </c>
      <c r="AN81" s="203">
        <f t="shared" si="42"/>
        <v>18473.0664</v>
      </c>
      <c r="AO81" s="217">
        <f t="shared" si="43"/>
        <v>1958.9678048780479</v>
      </c>
      <c r="AP81" s="217">
        <f t="shared" si="44"/>
        <v>0</v>
      </c>
    </row>
    <row r="82" spans="2:43" ht="13.5" thickBot="1">
      <c r="B82" s="199" t="s">
        <v>472</v>
      </c>
      <c r="C82" s="199" t="s">
        <v>436</v>
      </c>
      <c r="D82" s="199" t="s">
        <v>768</v>
      </c>
      <c r="E82" s="199" t="s">
        <v>769</v>
      </c>
      <c r="F82" s="199" t="s">
        <v>630</v>
      </c>
      <c r="G82" s="200">
        <v>4</v>
      </c>
      <c r="H82" s="197" t="str">
        <f t="shared" si="38"/>
        <v>C</v>
      </c>
      <c r="I82" s="199" t="s">
        <v>541</v>
      </c>
      <c r="J82" s="199" t="s">
        <v>542</v>
      </c>
      <c r="K82" s="200">
        <v>1</v>
      </c>
      <c r="L82" s="200">
        <v>100</v>
      </c>
      <c r="M82" s="200">
        <v>1</v>
      </c>
      <c r="N82" s="199" t="s">
        <v>64</v>
      </c>
      <c r="O82" s="199" t="s">
        <v>328</v>
      </c>
      <c r="P82" s="212" t="s">
        <v>56</v>
      </c>
      <c r="Q82" s="199" t="s">
        <v>544</v>
      </c>
      <c r="R82" s="199" t="s">
        <v>323</v>
      </c>
      <c r="S82" s="201"/>
      <c r="T82" s="201"/>
      <c r="U82" s="200">
        <v>1</v>
      </c>
      <c r="V82" s="298">
        <v>80317.679999999993</v>
      </c>
      <c r="W82" s="298">
        <f t="shared" si="45"/>
        <v>80317.679999999993</v>
      </c>
      <c r="X82" s="202">
        <f t="shared" si="46"/>
        <v>45470.597910525503</v>
      </c>
      <c r="Y82" s="200">
        <f t="shared" si="47"/>
        <v>125788.2779105255</v>
      </c>
      <c r="Z82" s="203">
        <f t="shared" si="39"/>
        <v>223.2</v>
      </c>
      <c r="AA82" s="203">
        <f t="shared" si="34"/>
        <v>85.8</v>
      </c>
      <c r="AB82" s="203">
        <f t="shared" si="40"/>
        <v>16188</v>
      </c>
      <c r="AC82" s="203">
        <f t="shared" si="35"/>
        <v>1296.6719330855017</v>
      </c>
      <c r="AD82" s="203"/>
      <c r="AE82" s="203">
        <f t="shared" si="36"/>
        <v>1574.2265279999999</v>
      </c>
      <c r="AF82" s="203"/>
      <c r="AG82" s="203">
        <f t="shared" si="48"/>
        <v>1164.60636</v>
      </c>
      <c r="AH82" s="203">
        <f t="shared" si="49"/>
        <v>791.77168943999993</v>
      </c>
      <c r="AI82" s="203"/>
      <c r="AJ82" s="204">
        <f t="shared" si="37"/>
        <v>653.40000000000009</v>
      </c>
      <c r="AK82" s="203">
        <f t="shared" si="50"/>
        <v>40.158839999999998</v>
      </c>
      <c r="AL82" s="203"/>
      <c r="AM82" s="204">
        <f t="shared" si="41"/>
        <v>4979.6961599999995</v>
      </c>
      <c r="AN82" s="203">
        <f t="shared" si="42"/>
        <v>18473.0664</v>
      </c>
      <c r="AO82" s="217">
        <f t="shared" si="43"/>
        <v>1958.9678048780479</v>
      </c>
      <c r="AP82" s="217">
        <f t="shared" si="44"/>
        <v>0</v>
      </c>
    </row>
    <row r="83" spans="2:43" ht="13.5" hidden="1" thickBot="1">
      <c r="B83" s="198" t="s">
        <v>770</v>
      </c>
      <c r="C83" s="198" t="s">
        <v>743</v>
      </c>
      <c r="D83" s="199" t="s">
        <v>771</v>
      </c>
      <c r="E83" s="199" t="s">
        <v>772</v>
      </c>
      <c r="F83" s="205">
        <v>435</v>
      </c>
      <c r="G83" s="197">
        <v>1</v>
      </c>
      <c r="H83" s="197" t="str">
        <f t="shared" si="38"/>
        <v>C</v>
      </c>
      <c r="I83" s="198" t="s">
        <v>541</v>
      </c>
      <c r="J83" s="198" t="s">
        <v>542</v>
      </c>
      <c r="K83" s="197">
        <v>1</v>
      </c>
      <c r="L83" s="200">
        <v>100</v>
      </c>
      <c r="M83" s="200">
        <v>1</v>
      </c>
      <c r="N83" s="198" t="s">
        <v>64</v>
      </c>
      <c r="O83" s="198" t="s">
        <v>343</v>
      </c>
      <c r="P83" s="212" t="s">
        <v>57</v>
      </c>
      <c r="Q83" s="198" t="s">
        <v>544</v>
      </c>
      <c r="R83" s="198" t="s">
        <v>345</v>
      </c>
      <c r="S83" s="205"/>
      <c r="T83" s="205"/>
      <c r="U83" s="197">
        <v>1</v>
      </c>
      <c r="V83" s="296">
        <v>52784.39</v>
      </c>
      <c r="W83" s="296">
        <f t="shared" si="45"/>
        <v>52784.39</v>
      </c>
      <c r="X83" s="206">
        <f t="shared" si="46"/>
        <v>36075.967684705502</v>
      </c>
      <c r="Y83" s="197">
        <f t="shared" si="47"/>
        <v>88860.357684705494</v>
      </c>
      <c r="Z83" s="207">
        <f t="shared" si="39"/>
        <v>223.2</v>
      </c>
      <c r="AA83" s="207">
        <f t="shared" si="34"/>
        <v>85.8</v>
      </c>
      <c r="AB83" s="207">
        <f t="shared" si="40"/>
        <v>16188</v>
      </c>
      <c r="AC83" s="207">
        <f t="shared" si="35"/>
        <v>1296.6719330855017</v>
      </c>
      <c r="AD83" s="207"/>
      <c r="AE83" s="207">
        <f t="shared" si="36"/>
        <v>1034.574044</v>
      </c>
      <c r="AF83" s="207"/>
      <c r="AG83" s="207">
        <f t="shared" si="48"/>
        <v>765.37365499999999</v>
      </c>
      <c r="AH83" s="207">
        <f t="shared" si="49"/>
        <v>520.34851662000005</v>
      </c>
      <c r="AI83" s="207"/>
      <c r="AJ83" s="204">
        <f t="shared" si="37"/>
        <v>522.56546100000003</v>
      </c>
      <c r="AK83" s="207">
        <f t="shared" si="50"/>
        <v>26.392195000000001</v>
      </c>
      <c r="AL83" s="207"/>
      <c r="AM83" s="204">
        <f t="shared" si="41"/>
        <v>3272.6321800000001</v>
      </c>
      <c r="AN83" s="207">
        <f t="shared" si="42"/>
        <v>12140.4097</v>
      </c>
      <c r="AO83" s="217">
        <f t="shared" si="43"/>
        <v>1287.4241463414583</v>
      </c>
      <c r="AP83" s="217">
        <f t="shared" si="44"/>
        <v>0</v>
      </c>
    </row>
    <row r="84" spans="2:43" ht="13.5" thickBot="1">
      <c r="B84" s="218" t="s">
        <v>473</v>
      </c>
      <c r="C84" s="218" t="s">
        <v>460</v>
      </c>
      <c r="D84" s="239"/>
      <c r="E84" s="218" t="s">
        <v>669</v>
      </c>
      <c r="F84" s="218"/>
      <c r="G84" s="220"/>
      <c r="H84" s="220" t="str">
        <f t="shared" si="38"/>
        <v>C</v>
      </c>
      <c r="I84" s="218" t="s">
        <v>541</v>
      </c>
      <c r="J84" s="218" t="s">
        <v>542</v>
      </c>
      <c r="K84" s="220">
        <v>1</v>
      </c>
      <c r="L84" s="220"/>
      <c r="M84" s="220"/>
      <c r="N84" s="218" t="s">
        <v>64</v>
      </c>
      <c r="O84" s="218" t="s">
        <v>333</v>
      </c>
      <c r="P84" s="212" t="s">
        <v>56</v>
      </c>
      <c r="Q84" s="218" t="s">
        <v>544</v>
      </c>
      <c r="R84" s="218" t="s">
        <v>323</v>
      </c>
      <c r="S84" s="219"/>
      <c r="T84" s="219"/>
      <c r="U84" s="220">
        <v>1</v>
      </c>
      <c r="V84" s="299">
        <v>56843.040000000001</v>
      </c>
      <c r="W84" s="299">
        <f t="shared" si="45"/>
        <v>56843.040000000001</v>
      </c>
      <c r="X84" s="221">
        <f t="shared" si="46"/>
        <v>37481.7135814055</v>
      </c>
      <c r="Y84" s="220">
        <f t="shared" si="47"/>
        <v>94324.753581405501</v>
      </c>
      <c r="Z84" s="222">
        <f t="shared" si="39"/>
        <v>223.2</v>
      </c>
      <c r="AA84" s="222">
        <f t="shared" si="34"/>
        <v>85.8</v>
      </c>
      <c r="AB84" s="222">
        <f t="shared" si="40"/>
        <v>16188</v>
      </c>
      <c r="AC84" s="222">
        <f t="shared" si="35"/>
        <v>1296.6719330855017</v>
      </c>
      <c r="AD84" s="222"/>
      <c r="AE84" s="222">
        <f t="shared" si="36"/>
        <v>1114.1235839999999</v>
      </c>
      <c r="AF84" s="222"/>
      <c r="AG84" s="222">
        <f t="shared" si="48"/>
        <v>824.22408000000007</v>
      </c>
      <c r="AH84" s="222">
        <f t="shared" si="49"/>
        <v>560.35868832000006</v>
      </c>
      <c r="AI84" s="222"/>
      <c r="AJ84" s="223">
        <f t="shared" si="37"/>
        <v>562.74609600000008</v>
      </c>
      <c r="AK84" s="222">
        <f t="shared" si="50"/>
        <v>28.421520000000001</v>
      </c>
      <c r="AL84" s="222"/>
      <c r="AM84" s="223">
        <f t="shared" si="41"/>
        <v>3524.2684800000002</v>
      </c>
      <c r="AN84" s="222">
        <f t="shared" si="42"/>
        <v>13073.899200000002</v>
      </c>
      <c r="AO84" s="217">
        <f t="shared" si="43"/>
        <v>1386.4156097560917</v>
      </c>
      <c r="AP84" s="217">
        <f t="shared" si="44"/>
        <v>0</v>
      </c>
    </row>
    <row r="85" spans="2:43" ht="13.5" thickBot="1">
      <c r="B85" s="199" t="s">
        <v>474</v>
      </c>
      <c r="C85" s="199" t="s">
        <v>436</v>
      </c>
      <c r="D85" s="240" t="s">
        <v>773</v>
      </c>
      <c r="E85" s="199" t="s">
        <v>774</v>
      </c>
      <c r="F85" s="241" t="s">
        <v>630</v>
      </c>
      <c r="G85" s="200">
        <v>3</v>
      </c>
      <c r="H85" s="197" t="str">
        <f t="shared" si="38"/>
        <v>C</v>
      </c>
      <c r="I85" s="199" t="s">
        <v>541</v>
      </c>
      <c r="J85" s="199" t="s">
        <v>542</v>
      </c>
      <c r="K85" s="200">
        <v>1</v>
      </c>
      <c r="L85" s="200">
        <v>100</v>
      </c>
      <c r="M85" s="200">
        <v>1</v>
      </c>
      <c r="N85" s="199" t="s">
        <v>64</v>
      </c>
      <c r="O85" s="199" t="s">
        <v>328</v>
      </c>
      <c r="P85" s="212" t="s">
        <v>56</v>
      </c>
      <c r="Q85" s="199" t="s">
        <v>544</v>
      </c>
      <c r="R85" s="199" t="s">
        <v>323</v>
      </c>
      <c r="S85" s="201"/>
      <c r="T85" s="201"/>
      <c r="U85" s="200">
        <v>1</v>
      </c>
      <c r="V85" s="298">
        <v>78358.679999999993</v>
      </c>
      <c r="W85" s="298">
        <f t="shared" si="45"/>
        <v>78358.679999999993</v>
      </c>
      <c r="X85" s="202">
        <f t="shared" si="46"/>
        <v>44811.476688525509</v>
      </c>
      <c r="Y85" s="200">
        <f t="shared" si="47"/>
        <v>123170.1566885255</v>
      </c>
      <c r="Z85" s="203">
        <f t="shared" si="39"/>
        <v>223.2</v>
      </c>
      <c r="AA85" s="203">
        <f t="shared" si="34"/>
        <v>85.8</v>
      </c>
      <c r="AB85" s="203">
        <f t="shared" si="40"/>
        <v>16188</v>
      </c>
      <c r="AC85" s="203">
        <f t="shared" si="35"/>
        <v>1296.6719330855017</v>
      </c>
      <c r="AD85" s="203"/>
      <c r="AE85" s="203">
        <f t="shared" si="36"/>
        <v>1535.8301279999998</v>
      </c>
      <c r="AF85" s="203"/>
      <c r="AG85" s="203">
        <f t="shared" si="48"/>
        <v>1136.2008599999999</v>
      </c>
      <c r="AH85" s="203">
        <f t="shared" si="49"/>
        <v>772.45986743999993</v>
      </c>
      <c r="AI85" s="203"/>
      <c r="AJ85" s="204">
        <f t="shared" si="37"/>
        <v>653.40000000000009</v>
      </c>
      <c r="AK85" s="203">
        <f t="shared" si="50"/>
        <v>39.179339999999996</v>
      </c>
      <c r="AL85" s="203"/>
      <c r="AM85" s="204">
        <f t="shared" si="41"/>
        <v>4858.2381599999999</v>
      </c>
      <c r="AN85" s="203">
        <f t="shared" si="42"/>
        <v>18022.4964</v>
      </c>
      <c r="AO85" s="217">
        <f t="shared" si="43"/>
        <v>1911.1873170731706</v>
      </c>
      <c r="AP85" s="217">
        <f t="shared" si="44"/>
        <v>0</v>
      </c>
    </row>
    <row r="86" spans="2:43" s="208" customFormat="1" ht="13.5" hidden="1" thickBot="1">
      <c r="B86" s="218" t="s">
        <v>775</v>
      </c>
      <c r="C86" s="218" t="s">
        <v>645</v>
      </c>
      <c r="D86" s="242" t="s">
        <v>669</v>
      </c>
      <c r="E86" s="218"/>
      <c r="F86" s="218"/>
      <c r="G86" s="220"/>
      <c r="H86" s="220" t="str">
        <f t="shared" si="38"/>
        <v>C</v>
      </c>
      <c r="I86" s="218" t="s">
        <v>541</v>
      </c>
      <c r="J86" s="218" t="s">
        <v>542</v>
      </c>
      <c r="K86" s="220">
        <v>1</v>
      </c>
      <c r="L86" s="220"/>
      <c r="M86" s="220"/>
      <c r="N86" s="218" t="s">
        <v>64</v>
      </c>
      <c r="O86" s="218" t="s">
        <v>288</v>
      </c>
      <c r="P86" s="212" t="s">
        <v>55</v>
      </c>
      <c r="Q86" s="218" t="s">
        <v>544</v>
      </c>
      <c r="R86" s="218" t="s">
        <v>233</v>
      </c>
      <c r="S86" s="219"/>
      <c r="T86" s="219"/>
      <c r="U86" s="220">
        <v>0</v>
      </c>
      <c r="V86" s="299">
        <v>0</v>
      </c>
      <c r="W86" s="299">
        <f t="shared" si="45"/>
        <v>0</v>
      </c>
      <c r="X86" s="221">
        <f t="shared" si="46"/>
        <v>0</v>
      </c>
      <c r="Y86" s="220">
        <f t="shared" si="47"/>
        <v>0</v>
      </c>
      <c r="Z86" s="222">
        <f t="shared" si="39"/>
        <v>0</v>
      </c>
      <c r="AA86" s="222">
        <f t="shared" ref="AA86:AA117" si="70">+$AA$4*U86</f>
        <v>0</v>
      </c>
      <c r="AB86" s="222">
        <f t="shared" si="40"/>
        <v>0</v>
      </c>
      <c r="AC86" s="222">
        <f t="shared" ref="AC86:AC117" si="71">+$AC$4*U86</f>
        <v>0</v>
      </c>
      <c r="AD86" s="222"/>
      <c r="AE86" s="222">
        <f t="shared" ref="AE86:AE117" si="72">+W86*$AE$4</f>
        <v>0</v>
      </c>
      <c r="AF86" s="222"/>
      <c r="AG86" s="222">
        <f t="shared" si="48"/>
        <v>0</v>
      </c>
      <c r="AH86" s="222">
        <f t="shared" si="49"/>
        <v>0</v>
      </c>
      <c r="AI86" s="222"/>
      <c r="AJ86" s="223">
        <f t="shared" ref="AJ86:AJ117" si="73">SUM(IF(V86&gt;65999,((66000*$AJ$4)*U86),(IF(V86&lt;66000,($AJ$4*(W86))))))</f>
        <v>0</v>
      </c>
      <c r="AK86" s="222">
        <f t="shared" si="50"/>
        <v>0</v>
      </c>
      <c r="AL86" s="222"/>
      <c r="AM86" s="223">
        <f t="shared" si="41"/>
        <v>0</v>
      </c>
      <c r="AN86" s="222">
        <f t="shared" si="42"/>
        <v>0</v>
      </c>
      <c r="AO86" s="272">
        <f t="shared" si="43"/>
        <v>0</v>
      </c>
      <c r="AP86" s="272">
        <f t="shared" si="44"/>
        <v>0</v>
      </c>
    </row>
    <row r="87" spans="2:43" s="208" customFormat="1" ht="13.5" hidden="1" thickBot="1">
      <c r="B87" s="198" t="s">
        <v>776</v>
      </c>
      <c r="C87" s="198" t="s">
        <v>777</v>
      </c>
      <c r="D87" s="248" t="s">
        <v>778</v>
      </c>
      <c r="E87" s="198" t="s">
        <v>779</v>
      </c>
      <c r="F87" s="198" t="s">
        <v>780</v>
      </c>
      <c r="G87" s="197">
        <v>2</v>
      </c>
      <c r="H87" s="197" t="str">
        <f t="shared" si="38"/>
        <v>C</v>
      </c>
      <c r="I87" s="198" t="s">
        <v>541</v>
      </c>
      <c r="J87" s="198" t="s">
        <v>542</v>
      </c>
      <c r="K87" s="197">
        <v>1</v>
      </c>
      <c r="L87" s="197">
        <v>100</v>
      </c>
      <c r="M87" s="197">
        <v>1</v>
      </c>
      <c r="N87" s="198" t="s">
        <v>64</v>
      </c>
      <c r="O87" s="198" t="s">
        <v>365</v>
      </c>
      <c r="P87" s="212" t="s">
        <v>57</v>
      </c>
      <c r="Q87" s="198" t="s">
        <v>544</v>
      </c>
      <c r="R87" s="198" t="s">
        <v>345</v>
      </c>
      <c r="S87" s="205"/>
      <c r="T87" s="205"/>
      <c r="U87" s="197">
        <v>1</v>
      </c>
      <c r="V87" s="296">
        <v>56843.03</v>
      </c>
      <c r="W87" s="296">
        <f t="shared" si="45"/>
        <v>56843.03</v>
      </c>
      <c r="X87" s="206">
        <f t="shared" si="46"/>
        <v>37481.710117825503</v>
      </c>
      <c r="Y87" s="197">
        <f t="shared" si="47"/>
        <v>94324.74011782551</v>
      </c>
      <c r="Z87" s="207">
        <f t="shared" si="39"/>
        <v>223.2</v>
      </c>
      <c r="AA87" s="207">
        <f t="shared" si="70"/>
        <v>85.8</v>
      </c>
      <c r="AB87" s="207">
        <f t="shared" si="40"/>
        <v>16188</v>
      </c>
      <c r="AC87" s="207">
        <f t="shared" si="71"/>
        <v>1296.6719330855017</v>
      </c>
      <c r="AD87" s="207"/>
      <c r="AE87" s="207">
        <f t="shared" si="72"/>
        <v>1114.123388</v>
      </c>
      <c r="AF87" s="207"/>
      <c r="AG87" s="207">
        <f t="shared" si="48"/>
        <v>824.22393499999998</v>
      </c>
      <c r="AH87" s="207">
        <f t="shared" si="49"/>
        <v>560.35858974000007</v>
      </c>
      <c r="AI87" s="207"/>
      <c r="AJ87" s="204">
        <f t="shared" si="73"/>
        <v>562.74599699999999</v>
      </c>
      <c r="AK87" s="207">
        <f t="shared" si="50"/>
        <v>28.421514999999999</v>
      </c>
      <c r="AL87" s="207"/>
      <c r="AM87" s="204">
        <f t="shared" si="41"/>
        <v>3524.2678599999999</v>
      </c>
      <c r="AN87" s="207">
        <f t="shared" si="42"/>
        <v>13073.8969</v>
      </c>
      <c r="AO87" s="272">
        <f t="shared" si="43"/>
        <v>1386.4153658536525</v>
      </c>
      <c r="AP87" s="272">
        <f t="shared" si="44"/>
        <v>0</v>
      </c>
    </row>
    <row r="88" spans="2:43" s="208" customFormat="1" ht="13.5" hidden="1" thickBot="1">
      <c r="B88" s="199" t="s">
        <v>781</v>
      </c>
      <c r="C88" s="199" t="s">
        <v>777</v>
      </c>
      <c r="D88" s="199" t="s">
        <v>782</v>
      </c>
      <c r="E88" s="199" t="s">
        <v>783</v>
      </c>
      <c r="F88" s="199" t="s">
        <v>780</v>
      </c>
      <c r="G88" s="200">
        <v>10</v>
      </c>
      <c r="H88" s="197" t="str">
        <f t="shared" si="38"/>
        <v>C</v>
      </c>
      <c r="I88" s="199" t="s">
        <v>541</v>
      </c>
      <c r="J88" s="199" t="s">
        <v>542</v>
      </c>
      <c r="K88" s="200">
        <v>1</v>
      </c>
      <c r="L88" s="200">
        <v>100</v>
      </c>
      <c r="M88" s="200">
        <v>1</v>
      </c>
      <c r="N88" s="199" t="s">
        <v>64</v>
      </c>
      <c r="O88" s="199" t="s">
        <v>365</v>
      </c>
      <c r="P88" s="212" t="s">
        <v>57</v>
      </c>
      <c r="Q88" s="199" t="s">
        <v>544</v>
      </c>
      <c r="R88" s="199" t="s">
        <v>345</v>
      </c>
      <c r="S88" s="201"/>
      <c r="T88" s="201"/>
      <c r="U88" s="200">
        <v>1</v>
      </c>
      <c r="V88" s="298">
        <v>69257.64</v>
      </c>
      <c r="W88" s="298">
        <f t="shared" si="45"/>
        <v>69257.64</v>
      </c>
      <c r="X88" s="202">
        <f t="shared" si="46"/>
        <v>41749.358972205504</v>
      </c>
      <c r="Y88" s="200">
        <f t="shared" si="47"/>
        <v>111006.9989722055</v>
      </c>
      <c r="Z88" s="203">
        <f t="shared" si="39"/>
        <v>223.2</v>
      </c>
      <c r="AA88" s="203">
        <f t="shared" si="70"/>
        <v>85.8</v>
      </c>
      <c r="AB88" s="203">
        <f t="shared" si="40"/>
        <v>16188</v>
      </c>
      <c r="AC88" s="203">
        <f t="shared" si="71"/>
        <v>1296.6719330855017</v>
      </c>
      <c r="AD88" s="203"/>
      <c r="AE88" s="203">
        <f t="shared" si="72"/>
        <v>1357.449744</v>
      </c>
      <c r="AF88" s="203"/>
      <c r="AG88" s="203">
        <f t="shared" si="48"/>
        <v>1004.2357800000001</v>
      </c>
      <c r="AH88" s="203">
        <f t="shared" si="49"/>
        <v>682.74181512000007</v>
      </c>
      <c r="AI88" s="203"/>
      <c r="AJ88" s="204">
        <f t="shared" si="73"/>
        <v>653.40000000000009</v>
      </c>
      <c r="AK88" s="203">
        <f t="shared" si="50"/>
        <v>34.628819999999997</v>
      </c>
      <c r="AL88" s="203"/>
      <c r="AM88" s="204">
        <f t="shared" si="41"/>
        <v>4293.9736800000001</v>
      </c>
      <c r="AN88" s="203">
        <f t="shared" si="42"/>
        <v>15929.2572</v>
      </c>
      <c r="AO88" s="272">
        <f t="shared" si="43"/>
        <v>1689.2107317073096</v>
      </c>
      <c r="AP88" s="272">
        <f t="shared" si="44"/>
        <v>0</v>
      </c>
    </row>
    <row r="89" spans="2:43" s="208" customFormat="1" ht="13.5" hidden="1" thickBot="1">
      <c r="B89" s="199" t="s">
        <v>784</v>
      </c>
      <c r="C89" s="199" t="s">
        <v>785</v>
      </c>
      <c r="D89" s="199" t="s">
        <v>786</v>
      </c>
      <c r="E89" s="199" t="s">
        <v>787</v>
      </c>
      <c r="F89" s="199" t="s">
        <v>579</v>
      </c>
      <c r="G89" s="200">
        <v>9</v>
      </c>
      <c r="H89" s="197" t="str">
        <f t="shared" si="38"/>
        <v>C</v>
      </c>
      <c r="I89" s="199" t="s">
        <v>541</v>
      </c>
      <c r="J89" s="199" t="s">
        <v>542</v>
      </c>
      <c r="K89" s="200">
        <v>1</v>
      </c>
      <c r="L89" s="200">
        <v>100</v>
      </c>
      <c r="M89" s="200">
        <v>1</v>
      </c>
      <c r="N89" s="199" t="s">
        <v>64</v>
      </c>
      <c r="O89" s="199" t="s">
        <v>358</v>
      </c>
      <c r="P89" s="212" t="s">
        <v>57</v>
      </c>
      <c r="Q89" s="199" t="s">
        <v>544</v>
      </c>
      <c r="R89" s="199" t="s">
        <v>347</v>
      </c>
      <c r="S89" s="201"/>
      <c r="T89" s="201"/>
      <c r="U89" s="200">
        <v>1</v>
      </c>
      <c r="V89" s="298">
        <v>80317.679999999993</v>
      </c>
      <c r="W89" s="298">
        <f t="shared" si="45"/>
        <v>80317.679999999993</v>
      </c>
      <c r="X89" s="202">
        <f t="shared" si="46"/>
        <v>45470.597910525503</v>
      </c>
      <c r="Y89" s="200">
        <f t="shared" si="47"/>
        <v>125788.2779105255</v>
      </c>
      <c r="Z89" s="203">
        <f t="shared" si="39"/>
        <v>223.2</v>
      </c>
      <c r="AA89" s="203">
        <f t="shared" si="70"/>
        <v>85.8</v>
      </c>
      <c r="AB89" s="203">
        <f t="shared" si="40"/>
        <v>16188</v>
      </c>
      <c r="AC89" s="203">
        <f t="shared" si="71"/>
        <v>1296.6719330855017</v>
      </c>
      <c r="AD89" s="203"/>
      <c r="AE89" s="203">
        <f t="shared" si="72"/>
        <v>1574.2265279999999</v>
      </c>
      <c r="AF89" s="203"/>
      <c r="AG89" s="203">
        <f t="shared" si="48"/>
        <v>1164.60636</v>
      </c>
      <c r="AH89" s="203">
        <f t="shared" si="49"/>
        <v>791.77168943999993</v>
      </c>
      <c r="AI89" s="203"/>
      <c r="AJ89" s="204">
        <f t="shared" si="73"/>
        <v>653.40000000000009</v>
      </c>
      <c r="AK89" s="203">
        <f t="shared" si="50"/>
        <v>40.158839999999998</v>
      </c>
      <c r="AL89" s="203"/>
      <c r="AM89" s="204">
        <f t="shared" si="41"/>
        <v>4979.6961599999995</v>
      </c>
      <c r="AN89" s="203">
        <f t="shared" si="42"/>
        <v>18473.0664</v>
      </c>
      <c r="AO89" s="272">
        <f t="shared" si="43"/>
        <v>1958.9678048780479</v>
      </c>
      <c r="AP89" s="272">
        <f t="shared" si="44"/>
        <v>0</v>
      </c>
    </row>
    <row r="90" spans="2:43" ht="13.5" thickBot="1">
      <c r="B90" s="209" t="s">
        <v>475</v>
      </c>
      <c r="C90" s="209" t="s">
        <v>476</v>
      </c>
      <c r="D90" s="209" t="s">
        <v>788</v>
      </c>
      <c r="E90" s="209" t="s">
        <v>789</v>
      </c>
      <c r="F90" s="209" t="s">
        <v>790</v>
      </c>
      <c r="G90" s="210">
        <v>8</v>
      </c>
      <c r="H90" s="211" t="str">
        <f t="shared" si="38"/>
        <v>C</v>
      </c>
      <c r="I90" s="209" t="s">
        <v>541</v>
      </c>
      <c r="J90" s="209" t="s">
        <v>542</v>
      </c>
      <c r="K90" s="210">
        <v>1</v>
      </c>
      <c r="L90" s="210">
        <v>100</v>
      </c>
      <c r="M90" s="210">
        <v>1</v>
      </c>
      <c r="N90" s="209" t="s">
        <v>64</v>
      </c>
      <c r="O90" s="209" t="s">
        <v>324</v>
      </c>
      <c r="P90" s="212" t="s">
        <v>56</v>
      </c>
      <c r="Q90" s="209" t="s">
        <v>544</v>
      </c>
      <c r="R90" s="209" t="s">
        <v>323</v>
      </c>
      <c r="S90" s="213"/>
      <c r="T90" s="213"/>
      <c r="U90" s="210">
        <v>1</v>
      </c>
      <c r="V90" s="297">
        <v>97859.225799999957</v>
      </c>
      <c r="W90" s="297">
        <f t="shared" si="45"/>
        <v>97859.225799999957</v>
      </c>
      <c r="X90" s="214">
        <f t="shared" si="46"/>
        <v>51372.591327301896</v>
      </c>
      <c r="Y90" s="210">
        <f t="shared" si="47"/>
        <v>149231.81712730185</v>
      </c>
      <c r="Z90" s="215">
        <f t="shared" si="39"/>
        <v>223.2</v>
      </c>
      <c r="AA90" s="215">
        <f t="shared" si="70"/>
        <v>85.8</v>
      </c>
      <c r="AB90" s="215">
        <f t="shared" si="40"/>
        <v>16188</v>
      </c>
      <c r="AC90" s="215">
        <f t="shared" si="71"/>
        <v>1296.6719330855017</v>
      </c>
      <c r="AD90" s="215"/>
      <c r="AE90" s="215">
        <f t="shared" si="72"/>
        <v>1918.040825679999</v>
      </c>
      <c r="AF90" s="215"/>
      <c r="AG90" s="215">
        <f t="shared" si="48"/>
        <v>1418.9587740999993</v>
      </c>
      <c r="AH90" s="215">
        <f t="shared" si="49"/>
        <v>964.69624793639957</v>
      </c>
      <c r="AI90" s="215"/>
      <c r="AJ90" s="216">
        <f t="shared" si="73"/>
        <v>653.40000000000009</v>
      </c>
      <c r="AK90" s="215">
        <f t="shared" si="50"/>
        <v>48.929612899999981</v>
      </c>
      <c r="AL90" s="215"/>
      <c r="AM90" s="216">
        <f t="shared" si="41"/>
        <v>6067.2719995999969</v>
      </c>
      <c r="AN90" s="215">
        <f t="shared" si="42"/>
        <v>22507.621933999992</v>
      </c>
      <c r="AO90" s="217">
        <f t="shared" si="43"/>
        <v>2386.8103853658395</v>
      </c>
      <c r="AP90" s="217">
        <f t="shared" si="44"/>
        <v>0</v>
      </c>
    </row>
    <row r="91" spans="2:43" ht="13.5" thickBot="1">
      <c r="B91" s="199" t="s">
        <v>477</v>
      </c>
      <c r="C91" s="199" t="s">
        <v>478</v>
      </c>
      <c r="D91" s="199" t="s">
        <v>791</v>
      </c>
      <c r="E91" s="199" t="s">
        <v>792</v>
      </c>
      <c r="F91" s="199" t="s">
        <v>651</v>
      </c>
      <c r="G91" s="200">
        <v>2</v>
      </c>
      <c r="H91" s="197" t="str">
        <f t="shared" si="38"/>
        <v>C</v>
      </c>
      <c r="I91" s="199" t="s">
        <v>541</v>
      </c>
      <c r="J91" s="199" t="s">
        <v>542</v>
      </c>
      <c r="K91" s="200">
        <v>1</v>
      </c>
      <c r="L91" s="200">
        <v>100</v>
      </c>
      <c r="M91" s="200">
        <v>1</v>
      </c>
      <c r="N91" s="199" t="s">
        <v>64</v>
      </c>
      <c r="O91" s="199" t="s">
        <v>321</v>
      </c>
      <c r="P91" s="212" t="s">
        <v>56</v>
      </c>
      <c r="Q91" s="199" t="s">
        <v>544</v>
      </c>
      <c r="R91" s="199" t="s">
        <v>323</v>
      </c>
      <c r="S91" s="201"/>
      <c r="T91" s="201"/>
      <c r="U91" s="200">
        <v>1</v>
      </c>
      <c r="V91" s="298">
        <v>39248.160000000003</v>
      </c>
      <c r="W91" s="298">
        <f t="shared" si="45"/>
        <v>39248.160000000003</v>
      </c>
      <c r="X91" s="202">
        <f t="shared" si="46"/>
        <v>31387.586134365505</v>
      </c>
      <c r="Y91" s="200">
        <f t="shared" si="47"/>
        <v>70635.746134365501</v>
      </c>
      <c r="Z91" s="203">
        <f t="shared" si="39"/>
        <v>223.2</v>
      </c>
      <c r="AA91" s="203">
        <f t="shared" si="70"/>
        <v>85.8</v>
      </c>
      <c r="AB91" s="203">
        <f t="shared" si="40"/>
        <v>16188</v>
      </c>
      <c r="AC91" s="203">
        <f t="shared" si="71"/>
        <v>1296.6719330855017</v>
      </c>
      <c r="AD91" s="203"/>
      <c r="AE91" s="203">
        <f t="shared" si="72"/>
        <v>769.26393600000006</v>
      </c>
      <c r="AF91" s="203"/>
      <c r="AG91" s="203">
        <f t="shared" si="48"/>
        <v>569.09832000000006</v>
      </c>
      <c r="AH91" s="203">
        <f t="shared" si="49"/>
        <v>386.90836128000007</v>
      </c>
      <c r="AI91" s="203"/>
      <c r="AJ91" s="204">
        <f t="shared" si="73"/>
        <v>388.55678400000005</v>
      </c>
      <c r="AK91" s="203">
        <f t="shared" si="50"/>
        <v>19.624080000000003</v>
      </c>
      <c r="AL91" s="203"/>
      <c r="AM91" s="204">
        <f t="shared" si="41"/>
        <v>2433.3859200000002</v>
      </c>
      <c r="AN91" s="203">
        <f t="shared" si="42"/>
        <v>9027.0768000000007</v>
      </c>
      <c r="AO91" s="217">
        <f t="shared" si="43"/>
        <v>957.27219512195006</v>
      </c>
      <c r="AP91" s="217">
        <f t="shared" si="44"/>
        <v>0</v>
      </c>
    </row>
    <row r="92" spans="2:43" ht="13.5" thickBot="1">
      <c r="B92" s="285" t="s">
        <v>479</v>
      </c>
      <c r="C92" s="249" t="s">
        <v>436</v>
      </c>
      <c r="D92" s="249"/>
      <c r="E92" s="249" t="s">
        <v>793</v>
      </c>
      <c r="F92" s="249"/>
      <c r="G92" s="250"/>
      <c r="H92" s="250"/>
      <c r="I92" s="249" t="s">
        <v>541</v>
      </c>
      <c r="J92" s="249" t="s">
        <v>542</v>
      </c>
      <c r="K92" s="250">
        <v>0</v>
      </c>
      <c r="L92" s="250">
        <v>100</v>
      </c>
      <c r="M92" s="250"/>
      <c r="N92" s="249" t="s">
        <v>64</v>
      </c>
      <c r="O92" s="249" t="s">
        <v>328</v>
      </c>
      <c r="P92" s="212" t="s">
        <v>56</v>
      </c>
      <c r="Q92" s="249" t="s">
        <v>544</v>
      </c>
      <c r="R92" s="249" t="s">
        <v>323</v>
      </c>
      <c r="S92" s="251"/>
      <c r="T92" s="251"/>
      <c r="U92" s="200">
        <v>1</v>
      </c>
      <c r="V92" s="303">
        <v>78358.679999999993</v>
      </c>
      <c r="W92" s="303">
        <f t="shared" si="45"/>
        <v>78358.679999999993</v>
      </c>
      <c r="X92" s="252">
        <f t="shared" si="46"/>
        <v>44811.476688525509</v>
      </c>
      <c r="Y92" s="250">
        <f t="shared" si="47"/>
        <v>123170.1566885255</v>
      </c>
      <c r="Z92" s="253">
        <f t="shared" si="39"/>
        <v>223.2</v>
      </c>
      <c r="AA92" s="253">
        <f t="shared" si="70"/>
        <v>85.8</v>
      </c>
      <c r="AB92" s="253">
        <f t="shared" si="40"/>
        <v>16188</v>
      </c>
      <c r="AC92" s="253">
        <f t="shared" si="71"/>
        <v>1296.6719330855017</v>
      </c>
      <c r="AD92" s="253"/>
      <c r="AE92" s="253">
        <f t="shared" si="72"/>
        <v>1535.8301279999998</v>
      </c>
      <c r="AF92" s="253"/>
      <c r="AG92" s="253">
        <f t="shared" si="48"/>
        <v>1136.2008599999999</v>
      </c>
      <c r="AH92" s="253">
        <f t="shared" si="49"/>
        <v>772.45986743999993</v>
      </c>
      <c r="AI92" s="253"/>
      <c r="AJ92" s="254">
        <f t="shared" si="73"/>
        <v>653.40000000000009</v>
      </c>
      <c r="AK92" s="253">
        <f t="shared" si="50"/>
        <v>39.179339999999996</v>
      </c>
      <c r="AL92" s="253"/>
      <c r="AM92" s="254">
        <f t="shared" si="41"/>
        <v>4858.2381599999999</v>
      </c>
      <c r="AN92" s="253">
        <f t="shared" si="42"/>
        <v>18022.4964</v>
      </c>
      <c r="AO92" s="217">
        <f t="shared" si="43"/>
        <v>0</v>
      </c>
      <c r="AP92" s="217">
        <f t="shared" si="44"/>
        <v>0</v>
      </c>
    </row>
    <row r="93" spans="2:43" s="208" customFormat="1" ht="13.5" hidden="1" thickBot="1">
      <c r="B93" s="209" t="s">
        <v>794</v>
      </c>
      <c r="C93" s="209" t="s">
        <v>795</v>
      </c>
      <c r="D93" s="209" t="s">
        <v>796</v>
      </c>
      <c r="E93" s="209" t="s">
        <v>797</v>
      </c>
      <c r="F93" s="209" t="s">
        <v>703</v>
      </c>
      <c r="G93" s="210">
        <v>11</v>
      </c>
      <c r="H93" s="211" t="str">
        <f t="shared" ref="H93:H124" si="74">LEFT(I93,1)</f>
        <v>M</v>
      </c>
      <c r="I93" s="209" t="s">
        <v>798</v>
      </c>
      <c r="J93" s="209" t="s">
        <v>542</v>
      </c>
      <c r="K93" s="210">
        <v>1</v>
      </c>
      <c r="L93" s="210">
        <v>100</v>
      </c>
      <c r="M93" s="210">
        <v>1</v>
      </c>
      <c r="N93" s="209" t="s">
        <v>64</v>
      </c>
      <c r="O93" s="209" t="s">
        <v>191</v>
      </c>
      <c r="P93" s="212" t="s">
        <v>54</v>
      </c>
      <c r="Q93" s="209" t="s">
        <v>799</v>
      </c>
      <c r="R93" s="209" t="s">
        <v>175</v>
      </c>
      <c r="S93" s="213"/>
      <c r="T93" s="213"/>
      <c r="U93" s="210">
        <v>1</v>
      </c>
      <c r="V93" s="297">
        <v>79244.800000000003</v>
      </c>
      <c r="W93" s="297">
        <f t="shared" si="45"/>
        <v>79244.800000000003</v>
      </c>
      <c r="X93" s="214">
        <f t="shared" si="46"/>
        <v>45109.618851485502</v>
      </c>
      <c r="Y93" s="210">
        <f t="shared" si="47"/>
        <v>124354.41885148551</v>
      </c>
      <c r="Z93" s="215">
        <f t="shared" si="39"/>
        <v>223.2</v>
      </c>
      <c r="AA93" s="215">
        <f t="shared" si="70"/>
        <v>85.8</v>
      </c>
      <c r="AB93" s="215">
        <f t="shared" si="40"/>
        <v>16188</v>
      </c>
      <c r="AC93" s="215">
        <f t="shared" si="71"/>
        <v>1296.6719330855017</v>
      </c>
      <c r="AD93" s="215"/>
      <c r="AE93" s="215">
        <f t="shared" si="72"/>
        <v>1553.1980800000001</v>
      </c>
      <c r="AF93" s="215"/>
      <c r="AG93" s="215">
        <f t="shared" si="48"/>
        <v>1149.0496000000001</v>
      </c>
      <c r="AH93" s="215">
        <f t="shared" si="49"/>
        <v>781.19523840000011</v>
      </c>
      <c r="AI93" s="215"/>
      <c r="AJ93" s="216">
        <f t="shared" si="73"/>
        <v>653.40000000000009</v>
      </c>
      <c r="AK93" s="215">
        <f t="shared" si="50"/>
        <v>39.622399999999999</v>
      </c>
      <c r="AL93" s="215"/>
      <c r="AM93" s="216">
        <f t="shared" si="41"/>
        <v>4913.1776</v>
      </c>
      <c r="AN93" s="215">
        <f t="shared" si="42"/>
        <v>18226.304</v>
      </c>
      <c r="AO93" s="272">
        <f t="shared" si="43"/>
        <v>0</v>
      </c>
      <c r="AP93" s="272">
        <f t="shared" si="44"/>
        <v>1932.7999999999884</v>
      </c>
      <c r="AQ93" s="208" t="s">
        <v>800</v>
      </c>
    </row>
    <row r="94" spans="2:43" ht="13.5" hidden="1" thickBot="1">
      <c r="B94" s="199" t="s">
        <v>801</v>
      </c>
      <c r="C94" s="199" t="s">
        <v>802</v>
      </c>
      <c r="D94" s="255" t="s">
        <v>803</v>
      </c>
      <c r="E94" s="199" t="s">
        <v>804</v>
      </c>
      <c r="F94" s="199" t="s">
        <v>805</v>
      </c>
      <c r="G94" s="200">
        <v>2</v>
      </c>
      <c r="H94" s="197" t="str">
        <f t="shared" si="74"/>
        <v>M</v>
      </c>
      <c r="I94" s="199" t="s">
        <v>798</v>
      </c>
      <c r="J94" s="199" t="s">
        <v>542</v>
      </c>
      <c r="K94" s="200">
        <v>1</v>
      </c>
      <c r="L94" s="200">
        <v>100</v>
      </c>
      <c r="M94" s="200">
        <v>1</v>
      </c>
      <c r="N94" s="199" t="s">
        <v>64</v>
      </c>
      <c r="O94" s="199" t="s">
        <v>343</v>
      </c>
      <c r="P94" s="212" t="s">
        <v>57</v>
      </c>
      <c r="Q94" s="199" t="s">
        <v>799</v>
      </c>
      <c r="R94" s="199" t="s">
        <v>345</v>
      </c>
      <c r="S94" s="201"/>
      <c r="T94" s="201"/>
      <c r="U94" s="200">
        <v>1</v>
      </c>
      <c r="V94" s="298">
        <v>73386.91</v>
      </c>
      <c r="W94" s="298">
        <f t="shared" si="45"/>
        <v>73386.91</v>
      </c>
      <c r="X94" s="202">
        <f t="shared" si="46"/>
        <v>43138.684897865503</v>
      </c>
      <c r="Y94" s="200">
        <f t="shared" si="47"/>
        <v>116525.59489786551</v>
      </c>
      <c r="Z94" s="203">
        <f t="shared" si="39"/>
        <v>223.2</v>
      </c>
      <c r="AA94" s="203">
        <f t="shared" si="70"/>
        <v>85.8</v>
      </c>
      <c r="AB94" s="203">
        <f t="shared" si="40"/>
        <v>16188</v>
      </c>
      <c r="AC94" s="203">
        <f t="shared" si="71"/>
        <v>1296.6719330855017</v>
      </c>
      <c r="AD94" s="203"/>
      <c r="AE94" s="203">
        <f t="shared" si="72"/>
        <v>1438.3834360000001</v>
      </c>
      <c r="AF94" s="203"/>
      <c r="AG94" s="203">
        <f t="shared" si="48"/>
        <v>1064.1101950000002</v>
      </c>
      <c r="AH94" s="203">
        <f t="shared" si="49"/>
        <v>723.44815878000009</v>
      </c>
      <c r="AI94" s="203"/>
      <c r="AJ94" s="204">
        <f t="shared" si="73"/>
        <v>653.40000000000009</v>
      </c>
      <c r="AK94" s="203">
        <f t="shared" si="50"/>
        <v>36.693455</v>
      </c>
      <c r="AL94" s="203"/>
      <c r="AM94" s="204">
        <f t="shared" si="41"/>
        <v>4549.9884200000006</v>
      </c>
      <c r="AN94" s="203">
        <f t="shared" si="42"/>
        <v>16878.989300000001</v>
      </c>
      <c r="AO94" s="217">
        <f t="shared" si="43"/>
        <v>0</v>
      </c>
      <c r="AP94" s="217">
        <f t="shared" si="44"/>
        <v>1789.9246341463295</v>
      </c>
      <c r="AQ94" s="184" t="s">
        <v>806</v>
      </c>
    </row>
    <row r="95" spans="2:43" ht="13.5" hidden="1" thickBot="1">
      <c r="B95" s="199" t="s">
        <v>807</v>
      </c>
      <c r="C95" s="199" t="s">
        <v>802</v>
      </c>
      <c r="D95" s="199" t="s">
        <v>808</v>
      </c>
      <c r="E95" s="199" t="s">
        <v>809</v>
      </c>
      <c r="F95" s="199" t="s">
        <v>805</v>
      </c>
      <c r="G95" s="200">
        <v>8</v>
      </c>
      <c r="H95" s="197" t="str">
        <f t="shared" si="74"/>
        <v>M</v>
      </c>
      <c r="I95" s="199" t="s">
        <v>798</v>
      </c>
      <c r="J95" s="199" t="s">
        <v>542</v>
      </c>
      <c r="K95" s="200">
        <v>1</v>
      </c>
      <c r="L95" s="200">
        <v>100</v>
      </c>
      <c r="M95" s="200">
        <v>1</v>
      </c>
      <c r="N95" s="199" t="s">
        <v>64</v>
      </c>
      <c r="O95" s="199" t="s">
        <v>343</v>
      </c>
      <c r="P95" s="212" t="s">
        <v>57</v>
      </c>
      <c r="Q95" s="199" t="s">
        <v>799</v>
      </c>
      <c r="R95" s="199" t="s">
        <v>345</v>
      </c>
      <c r="S95" s="201"/>
      <c r="T95" s="201"/>
      <c r="U95" s="200">
        <v>1</v>
      </c>
      <c r="V95" s="298">
        <v>85106.32</v>
      </c>
      <c r="W95" s="298">
        <f t="shared" si="45"/>
        <v>85106.32</v>
      </c>
      <c r="X95" s="202">
        <f t="shared" si="46"/>
        <v>47081.774147645498</v>
      </c>
      <c r="Y95" s="200">
        <f t="shared" si="47"/>
        <v>132188.09414764552</v>
      </c>
      <c r="Z95" s="203">
        <f t="shared" ref="Z95:Z117" si="75">+$Z$4*U95</f>
        <v>223.2</v>
      </c>
      <c r="AA95" s="203">
        <f t="shared" si="70"/>
        <v>85.8</v>
      </c>
      <c r="AB95" s="203">
        <f t="shared" ref="AB95:AB117" si="76">+$AB$4*U95</f>
        <v>16188</v>
      </c>
      <c r="AC95" s="203">
        <f t="shared" si="71"/>
        <v>1296.6719330855017</v>
      </c>
      <c r="AD95" s="203"/>
      <c r="AE95" s="203">
        <f t="shared" si="72"/>
        <v>1668.0838720000002</v>
      </c>
      <c r="AF95" s="203"/>
      <c r="AG95" s="203">
        <f t="shared" si="48"/>
        <v>1234.0416400000001</v>
      </c>
      <c r="AH95" s="203">
        <f t="shared" si="49"/>
        <v>838.97810256000014</v>
      </c>
      <c r="AI95" s="203"/>
      <c r="AJ95" s="204">
        <f t="shared" si="73"/>
        <v>653.40000000000009</v>
      </c>
      <c r="AK95" s="203">
        <f t="shared" si="50"/>
        <v>42.553160000000005</v>
      </c>
      <c r="AL95" s="203"/>
      <c r="AM95" s="204">
        <f t="shared" si="41"/>
        <v>5276.59184</v>
      </c>
      <c r="AN95" s="203">
        <f t="shared" si="42"/>
        <v>19574.453600000001</v>
      </c>
      <c r="AO95" s="217">
        <f t="shared" si="43"/>
        <v>0</v>
      </c>
      <c r="AP95" s="217">
        <f t="shared" si="44"/>
        <v>2075.7639024390228</v>
      </c>
    </row>
    <row r="96" spans="2:43" ht="13.5" hidden="1" thickBot="1">
      <c r="B96" s="199" t="s">
        <v>810</v>
      </c>
      <c r="C96" s="199" t="s">
        <v>811</v>
      </c>
      <c r="D96" s="199" t="s">
        <v>812</v>
      </c>
      <c r="E96" s="199" t="s">
        <v>813</v>
      </c>
      <c r="F96" s="199" t="s">
        <v>703</v>
      </c>
      <c r="G96" s="200">
        <v>10</v>
      </c>
      <c r="H96" s="197" t="str">
        <f t="shared" si="74"/>
        <v>M</v>
      </c>
      <c r="I96" s="199" t="s">
        <v>798</v>
      </c>
      <c r="J96" s="199" t="s">
        <v>542</v>
      </c>
      <c r="K96" s="200">
        <v>1</v>
      </c>
      <c r="L96" s="200">
        <v>100</v>
      </c>
      <c r="M96" s="200">
        <v>1</v>
      </c>
      <c r="N96" s="199" t="s">
        <v>64</v>
      </c>
      <c r="O96" s="199" t="s">
        <v>229</v>
      </c>
      <c r="P96" s="212" t="s">
        <v>55</v>
      </c>
      <c r="Q96" s="199" t="s">
        <v>799</v>
      </c>
      <c r="R96" s="199" t="s">
        <v>233</v>
      </c>
      <c r="S96" s="201"/>
      <c r="T96" s="201"/>
      <c r="U96" s="200">
        <v>1</v>
      </c>
      <c r="V96" s="298">
        <v>65039.9</v>
      </c>
      <c r="W96" s="298">
        <f t="shared" si="45"/>
        <v>65039.9</v>
      </c>
      <c r="X96" s="202">
        <f t="shared" si="46"/>
        <v>40320.761617285505</v>
      </c>
      <c r="Y96" s="200">
        <f t="shared" si="47"/>
        <v>105360.66161728551</v>
      </c>
      <c r="Z96" s="203">
        <f t="shared" si="75"/>
        <v>223.2</v>
      </c>
      <c r="AA96" s="203">
        <f t="shared" si="70"/>
        <v>85.8</v>
      </c>
      <c r="AB96" s="203">
        <f t="shared" si="76"/>
        <v>16188</v>
      </c>
      <c r="AC96" s="203">
        <f t="shared" si="71"/>
        <v>1296.6719330855017</v>
      </c>
      <c r="AD96" s="203"/>
      <c r="AE96" s="203">
        <f t="shared" si="72"/>
        <v>1274.7820400000001</v>
      </c>
      <c r="AF96" s="203"/>
      <c r="AG96" s="203">
        <f t="shared" si="48"/>
        <v>943.07855000000006</v>
      </c>
      <c r="AH96" s="203">
        <f t="shared" si="49"/>
        <v>641.16333420000001</v>
      </c>
      <c r="AI96" s="203"/>
      <c r="AJ96" s="204">
        <f t="shared" si="73"/>
        <v>643.89501000000007</v>
      </c>
      <c r="AK96" s="203">
        <f t="shared" si="50"/>
        <v>32.519950000000001</v>
      </c>
      <c r="AL96" s="203"/>
      <c r="AM96" s="204">
        <f t="shared" si="41"/>
        <v>4032.4738000000002</v>
      </c>
      <c r="AN96" s="203">
        <f t="shared" si="42"/>
        <v>14959.177000000001</v>
      </c>
      <c r="AO96" s="217">
        <f t="shared" si="43"/>
        <v>0</v>
      </c>
      <c r="AP96" s="217">
        <f t="shared" si="44"/>
        <v>1586.3390243902395</v>
      </c>
    </row>
    <row r="97" spans="2:43" ht="13.5" hidden="1" thickBot="1">
      <c r="B97" s="199" t="s">
        <v>814</v>
      </c>
      <c r="C97" s="199" t="s">
        <v>815</v>
      </c>
      <c r="D97" s="199" t="s">
        <v>816</v>
      </c>
      <c r="E97" s="199" t="s">
        <v>817</v>
      </c>
      <c r="F97" s="199" t="s">
        <v>703</v>
      </c>
      <c r="G97" s="200">
        <v>6</v>
      </c>
      <c r="H97" s="197" t="str">
        <f t="shared" si="74"/>
        <v>M</v>
      </c>
      <c r="I97" s="199" t="s">
        <v>798</v>
      </c>
      <c r="J97" s="199" t="s">
        <v>542</v>
      </c>
      <c r="K97" s="200">
        <v>1</v>
      </c>
      <c r="L97" s="200">
        <v>100</v>
      </c>
      <c r="M97" s="200">
        <v>1</v>
      </c>
      <c r="N97" s="199" t="s">
        <v>64</v>
      </c>
      <c r="O97" s="199" t="s">
        <v>343</v>
      </c>
      <c r="P97" s="212" t="s">
        <v>57</v>
      </c>
      <c r="Q97" s="199" t="s">
        <v>799</v>
      </c>
      <c r="R97" s="199" t="s">
        <v>345</v>
      </c>
      <c r="S97" s="201"/>
      <c r="T97" s="201"/>
      <c r="U97" s="200">
        <v>1</v>
      </c>
      <c r="V97" s="298">
        <v>70040.86</v>
      </c>
      <c r="W97" s="298">
        <f t="shared" si="45"/>
        <v>70040.86</v>
      </c>
      <c r="X97" s="202">
        <f t="shared" si="46"/>
        <v>42012.879606965507</v>
      </c>
      <c r="Y97" s="200">
        <f t="shared" si="47"/>
        <v>112053.73960696551</v>
      </c>
      <c r="Z97" s="203">
        <f t="shared" si="75"/>
        <v>223.2</v>
      </c>
      <c r="AA97" s="203">
        <f t="shared" si="70"/>
        <v>85.8</v>
      </c>
      <c r="AB97" s="203">
        <f t="shared" si="76"/>
        <v>16188</v>
      </c>
      <c r="AC97" s="203">
        <f t="shared" si="71"/>
        <v>1296.6719330855017</v>
      </c>
      <c r="AD97" s="203"/>
      <c r="AE97" s="203">
        <f t="shared" si="72"/>
        <v>1372.8008560000001</v>
      </c>
      <c r="AF97" s="203"/>
      <c r="AG97" s="203">
        <f t="shared" si="48"/>
        <v>1015.59247</v>
      </c>
      <c r="AH97" s="203">
        <f t="shared" si="49"/>
        <v>690.46279788000004</v>
      </c>
      <c r="AI97" s="203"/>
      <c r="AJ97" s="204">
        <f t="shared" si="73"/>
        <v>653.40000000000009</v>
      </c>
      <c r="AK97" s="203">
        <f t="shared" si="50"/>
        <v>35.020429999999998</v>
      </c>
      <c r="AL97" s="203"/>
      <c r="AM97" s="204">
        <f t="shared" si="41"/>
        <v>4342.5333200000005</v>
      </c>
      <c r="AN97" s="203">
        <f t="shared" si="42"/>
        <v>16109.397800000001</v>
      </c>
      <c r="AO97" s="217">
        <f t="shared" si="43"/>
        <v>0</v>
      </c>
      <c r="AP97" s="217">
        <f t="shared" si="44"/>
        <v>1708.3136585365864</v>
      </c>
    </row>
    <row r="98" spans="2:43" ht="13.5" hidden="1" thickBot="1">
      <c r="B98" s="199" t="s">
        <v>818</v>
      </c>
      <c r="C98" s="199" t="s">
        <v>802</v>
      </c>
      <c r="D98" s="199" t="s">
        <v>819</v>
      </c>
      <c r="E98" s="199" t="s">
        <v>820</v>
      </c>
      <c r="F98" s="199" t="s">
        <v>805</v>
      </c>
      <c r="G98" s="200">
        <v>4</v>
      </c>
      <c r="H98" s="197" t="str">
        <f t="shared" si="74"/>
        <v>M</v>
      </c>
      <c r="I98" s="199" t="s">
        <v>798</v>
      </c>
      <c r="J98" s="199" t="s">
        <v>542</v>
      </c>
      <c r="K98" s="200">
        <v>1</v>
      </c>
      <c r="L98" s="200">
        <v>100</v>
      </c>
      <c r="M98" s="200">
        <v>1</v>
      </c>
      <c r="N98" s="199" t="s">
        <v>64</v>
      </c>
      <c r="O98" s="199" t="s">
        <v>343</v>
      </c>
      <c r="P98" s="212" t="s">
        <v>57</v>
      </c>
      <c r="Q98" s="199" t="s">
        <v>799</v>
      </c>
      <c r="R98" s="199" t="s">
        <v>345</v>
      </c>
      <c r="S98" s="201"/>
      <c r="T98" s="201"/>
      <c r="U98" s="200">
        <v>1</v>
      </c>
      <c r="V98" s="298">
        <v>77102.12</v>
      </c>
      <c r="W98" s="298">
        <f t="shared" si="45"/>
        <v>77102.12</v>
      </c>
      <c r="X98" s="202">
        <f t="shared" si="46"/>
        <v>44388.697024045505</v>
      </c>
      <c r="Y98" s="200">
        <f t="shared" si="47"/>
        <v>121490.81702404551</v>
      </c>
      <c r="Z98" s="203">
        <f t="shared" si="75"/>
        <v>223.2</v>
      </c>
      <c r="AA98" s="203">
        <f t="shared" si="70"/>
        <v>85.8</v>
      </c>
      <c r="AB98" s="203">
        <f t="shared" si="76"/>
        <v>16188</v>
      </c>
      <c r="AC98" s="203">
        <f t="shared" si="71"/>
        <v>1296.6719330855017</v>
      </c>
      <c r="AD98" s="203"/>
      <c r="AE98" s="203">
        <f t="shared" si="72"/>
        <v>1511.2015519999998</v>
      </c>
      <c r="AF98" s="203"/>
      <c r="AG98" s="203">
        <f t="shared" si="48"/>
        <v>1117.98074</v>
      </c>
      <c r="AH98" s="203">
        <f t="shared" si="49"/>
        <v>760.07269896000003</v>
      </c>
      <c r="AI98" s="203"/>
      <c r="AJ98" s="204">
        <f t="shared" si="73"/>
        <v>653.40000000000009</v>
      </c>
      <c r="AK98" s="203">
        <f t="shared" si="50"/>
        <v>38.55106</v>
      </c>
      <c r="AL98" s="203"/>
      <c r="AM98" s="204">
        <f t="shared" si="41"/>
        <v>4780.3314399999999</v>
      </c>
      <c r="AN98" s="203">
        <f t="shared" si="42"/>
        <v>17733.4876</v>
      </c>
      <c r="AO98" s="217">
        <f t="shared" si="43"/>
        <v>0</v>
      </c>
      <c r="AP98" s="217">
        <f t="shared" si="44"/>
        <v>1880.5395121951151</v>
      </c>
    </row>
    <row r="99" spans="2:43" ht="13.5" hidden="1" thickBot="1">
      <c r="B99" s="265" t="s">
        <v>821</v>
      </c>
      <c r="C99" s="199" t="s">
        <v>822</v>
      </c>
      <c r="D99" s="199" t="s">
        <v>823</v>
      </c>
      <c r="E99" s="199" t="s">
        <v>824</v>
      </c>
      <c r="F99" s="199" t="s">
        <v>805</v>
      </c>
      <c r="G99" s="200">
        <v>12</v>
      </c>
      <c r="H99" s="197" t="str">
        <f t="shared" si="74"/>
        <v>M</v>
      </c>
      <c r="I99" s="199" t="s">
        <v>798</v>
      </c>
      <c r="J99" s="199" t="s">
        <v>542</v>
      </c>
      <c r="K99" s="200">
        <v>1</v>
      </c>
      <c r="L99" s="200">
        <v>100</v>
      </c>
      <c r="M99" s="200">
        <v>1</v>
      </c>
      <c r="N99" s="199" t="s">
        <v>64</v>
      </c>
      <c r="O99" s="199" t="s">
        <v>407</v>
      </c>
      <c r="P99" s="212" t="s">
        <v>58</v>
      </c>
      <c r="Q99" s="199" t="s">
        <v>799</v>
      </c>
      <c r="R99" s="199" t="s">
        <v>409</v>
      </c>
      <c r="S99" s="201"/>
      <c r="T99" s="201"/>
      <c r="U99" s="200">
        <v>1</v>
      </c>
      <c r="V99" s="298">
        <v>93941.45</v>
      </c>
      <c r="W99" s="298">
        <f t="shared" si="45"/>
        <v>93941.45</v>
      </c>
      <c r="X99" s="202">
        <f t="shared" si="46"/>
        <v>50054.424317185505</v>
      </c>
      <c r="Y99" s="200">
        <f t="shared" si="47"/>
        <v>143995.87431718549</v>
      </c>
      <c r="Z99" s="203">
        <f t="shared" si="75"/>
        <v>223.2</v>
      </c>
      <c r="AA99" s="203">
        <f t="shared" si="70"/>
        <v>85.8</v>
      </c>
      <c r="AB99" s="203">
        <f t="shared" si="76"/>
        <v>16188</v>
      </c>
      <c r="AC99" s="203">
        <f t="shared" si="71"/>
        <v>1296.6719330855017</v>
      </c>
      <c r="AD99" s="203"/>
      <c r="AE99" s="203">
        <f t="shared" si="72"/>
        <v>1841.2524199999998</v>
      </c>
      <c r="AF99" s="203"/>
      <c r="AG99" s="203">
        <f t="shared" si="48"/>
        <v>1362.1510250000001</v>
      </c>
      <c r="AH99" s="203">
        <f t="shared" si="49"/>
        <v>926.07481410000003</v>
      </c>
      <c r="AI99" s="203"/>
      <c r="AJ99" s="204">
        <f t="shared" si="73"/>
        <v>653.40000000000009</v>
      </c>
      <c r="AK99" s="203">
        <f t="shared" si="50"/>
        <v>46.970725000000002</v>
      </c>
      <c r="AL99" s="203"/>
      <c r="AM99" s="204">
        <f t="shared" si="41"/>
        <v>5824.3698999999997</v>
      </c>
      <c r="AN99" s="203">
        <f t="shared" si="42"/>
        <v>21606.533500000001</v>
      </c>
      <c r="AO99" s="217">
        <f t="shared" si="43"/>
        <v>0</v>
      </c>
      <c r="AP99" s="217">
        <f t="shared" si="44"/>
        <v>2291.2548780487705</v>
      </c>
    </row>
    <row r="100" spans="2:43" s="208" customFormat="1" ht="13.5" hidden="1" thickBot="1">
      <c r="B100" s="198" t="s">
        <v>825</v>
      </c>
      <c r="C100" s="198" t="s">
        <v>826</v>
      </c>
      <c r="D100" s="198" t="s">
        <v>827</v>
      </c>
      <c r="E100" s="198" t="s">
        <v>828</v>
      </c>
      <c r="F100" s="198" t="s">
        <v>829</v>
      </c>
      <c r="G100" s="197">
        <v>8</v>
      </c>
      <c r="H100" s="197" t="str">
        <f t="shared" si="74"/>
        <v>M</v>
      </c>
      <c r="I100" s="198" t="s">
        <v>559</v>
      </c>
      <c r="J100" s="198" t="s">
        <v>542</v>
      </c>
      <c r="K100" s="197">
        <v>1</v>
      </c>
      <c r="L100" s="197">
        <v>100</v>
      </c>
      <c r="M100" s="197">
        <v>1</v>
      </c>
      <c r="N100" s="198" t="s">
        <v>64</v>
      </c>
      <c r="O100" s="198" t="s">
        <v>191</v>
      </c>
      <c r="P100" s="212" t="s">
        <v>54</v>
      </c>
      <c r="Q100" s="198" t="s">
        <v>830</v>
      </c>
      <c r="R100" s="198" t="s">
        <v>175</v>
      </c>
      <c r="S100" s="205"/>
      <c r="T100" s="205"/>
      <c r="U100" s="197">
        <v>1</v>
      </c>
      <c r="V100" s="296">
        <v>195493.05</v>
      </c>
      <c r="W100" s="296">
        <f t="shared" si="45"/>
        <v>195493.05</v>
      </c>
      <c r="X100" s="206">
        <f t="shared" si="46"/>
        <v>58680.795509985503</v>
      </c>
      <c r="Y100" s="197">
        <f t="shared" si="47"/>
        <v>254173.84550998549</v>
      </c>
      <c r="Z100" s="207">
        <f t="shared" si="75"/>
        <v>223.2</v>
      </c>
      <c r="AA100" s="207">
        <f t="shared" si="70"/>
        <v>85.8</v>
      </c>
      <c r="AB100" s="207">
        <f t="shared" si="76"/>
        <v>16188</v>
      </c>
      <c r="AC100" s="207">
        <f t="shared" si="71"/>
        <v>1296.6719330855017</v>
      </c>
      <c r="AD100" s="207">
        <v>420</v>
      </c>
      <c r="AE100" s="207">
        <f t="shared" si="72"/>
        <v>3831.6637799999999</v>
      </c>
      <c r="AF100" s="207"/>
      <c r="AG100" s="207">
        <f t="shared" si="48"/>
        <v>2834.6492250000001</v>
      </c>
      <c r="AH100" s="207">
        <f t="shared" si="49"/>
        <v>1927.1704869</v>
      </c>
      <c r="AI100" s="207"/>
      <c r="AJ100" s="204">
        <f t="shared" si="73"/>
        <v>653.40000000000009</v>
      </c>
      <c r="AK100" s="207">
        <f t="shared" si="50"/>
        <v>97.746524999999991</v>
      </c>
      <c r="AL100" s="207">
        <f>+W100*$AL$4</f>
        <v>31122.493559999999</v>
      </c>
      <c r="AM100" s="204"/>
      <c r="AN100" s="207"/>
      <c r="AO100" s="272">
        <f t="shared" si="43"/>
        <v>0</v>
      </c>
      <c r="AP100" s="272">
        <f t="shared" si="44"/>
        <v>4768.1231707316765</v>
      </c>
    </row>
    <row r="101" spans="2:43" ht="13.5" hidden="1" thickBot="1">
      <c r="B101" s="273" t="s">
        <v>831</v>
      </c>
      <c r="C101" s="273" t="s">
        <v>832</v>
      </c>
      <c r="D101" s="273" t="s">
        <v>833</v>
      </c>
      <c r="E101" s="273" t="s">
        <v>834</v>
      </c>
      <c r="F101" s="274"/>
      <c r="G101" s="275"/>
      <c r="H101" s="276" t="str">
        <f t="shared" si="74"/>
        <v/>
      </c>
      <c r="I101" s="274"/>
      <c r="J101" s="273" t="s">
        <v>542</v>
      </c>
      <c r="K101" s="276">
        <v>1</v>
      </c>
      <c r="L101" s="276">
        <v>100</v>
      </c>
      <c r="M101" s="276">
        <v>1</v>
      </c>
      <c r="N101" s="273" t="s">
        <v>64</v>
      </c>
      <c r="O101" s="273" t="s">
        <v>398</v>
      </c>
      <c r="P101" s="212" t="s">
        <v>61</v>
      </c>
      <c r="Q101" s="273">
        <v>1214</v>
      </c>
      <c r="R101" s="273">
        <v>660010</v>
      </c>
      <c r="S101" s="273"/>
      <c r="T101" s="275"/>
      <c r="U101" s="276">
        <v>0.9</v>
      </c>
      <c r="V101" s="304">
        <f>325000-35000</f>
        <v>290000</v>
      </c>
      <c r="W101" s="305">
        <f t="shared" si="45"/>
        <v>261000</v>
      </c>
      <c r="X101" s="277">
        <f t="shared" si="46"/>
        <v>111311.72273977695</v>
      </c>
      <c r="Y101" s="276">
        <f t="shared" si="47"/>
        <v>372311.72273977695</v>
      </c>
      <c r="Z101" s="278">
        <f t="shared" si="75"/>
        <v>200.88</v>
      </c>
      <c r="AA101" s="278">
        <f t="shared" si="70"/>
        <v>77.22</v>
      </c>
      <c r="AB101" s="278">
        <f t="shared" si="76"/>
        <v>14569.2</v>
      </c>
      <c r="AC101" s="278">
        <f t="shared" si="71"/>
        <v>1167.0047397769515</v>
      </c>
      <c r="AD101" s="278"/>
      <c r="AE101" s="278">
        <f t="shared" si="72"/>
        <v>5115.5999999999995</v>
      </c>
      <c r="AF101" s="278"/>
      <c r="AG101" s="278">
        <f t="shared" si="48"/>
        <v>3784.5</v>
      </c>
      <c r="AH101" s="278">
        <f t="shared" si="49"/>
        <v>2572.9380000000001</v>
      </c>
      <c r="AI101" s="278">
        <f>+$AI$4*W101</f>
        <v>15660</v>
      </c>
      <c r="AJ101" s="279">
        <f t="shared" si="73"/>
        <v>588.06000000000006</v>
      </c>
      <c r="AK101" s="278">
        <f t="shared" si="50"/>
        <v>130.5</v>
      </c>
      <c r="AL101" s="278"/>
      <c r="AM101" s="279">
        <f t="shared" ref="AM101:AM135" si="77">SUM(IF(V101&gt;132900,((132900*$AM$4)*U101),(IF(V101&lt;132900,($AM$4*(W101))))))</f>
        <v>7415.82</v>
      </c>
      <c r="AN101" s="278">
        <f t="shared" ref="AN101:AN135" si="78">+W101*$AN$4</f>
        <v>60030</v>
      </c>
      <c r="AO101" s="217">
        <f t="shared" si="43"/>
        <v>0</v>
      </c>
      <c r="AP101" s="217">
        <f t="shared" si="44"/>
        <v>0</v>
      </c>
    </row>
    <row r="102" spans="2:43" ht="13.5" hidden="1" thickBot="1">
      <c r="B102" s="316" t="s">
        <v>831</v>
      </c>
      <c r="C102" s="273" t="s">
        <v>832</v>
      </c>
      <c r="D102" s="273" t="s">
        <v>833</v>
      </c>
      <c r="E102" s="273" t="s">
        <v>834</v>
      </c>
      <c r="F102" s="274"/>
      <c r="G102" s="275"/>
      <c r="H102" s="276" t="str">
        <f t="shared" si="74"/>
        <v/>
      </c>
      <c r="I102" s="274"/>
      <c r="J102" s="273" t="s">
        <v>542</v>
      </c>
      <c r="K102" s="276">
        <v>1</v>
      </c>
      <c r="L102" s="276">
        <v>100</v>
      </c>
      <c r="M102" s="276">
        <v>1</v>
      </c>
      <c r="N102" s="273" t="s">
        <v>64</v>
      </c>
      <c r="O102" s="273" t="s">
        <v>398</v>
      </c>
      <c r="P102" s="212" t="s">
        <v>61</v>
      </c>
      <c r="Q102" s="273">
        <v>1214</v>
      </c>
      <c r="R102" s="273">
        <v>711001</v>
      </c>
      <c r="S102" s="273"/>
      <c r="T102" s="275"/>
      <c r="U102" s="276">
        <v>0.1</v>
      </c>
      <c r="V102" s="304">
        <f>325000-35000</f>
        <v>290000</v>
      </c>
      <c r="W102" s="305">
        <f t="shared" si="45"/>
        <v>29000</v>
      </c>
      <c r="X102" s="277">
        <f t="shared" si="46"/>
        <v>12367.969193308551</v>
      </c>
      <c r="Y102" s="276">
        <f t="shared" si="47"/>
        <v>41367.969193308549</v>
      </c>
      <c r="Z102" s="278">
        <f t="shared" si="75"/>
        <v>22.32</v>
      </c>
      <c r="AA102" s="278">
        <f t="shared" si="70"/>
        <v>8.58</v>
      </c>
      <c r="AB102" s="278">
        <f t="shared" si="76"/>
        <v>1618.8000000000002</v>
      </c>
      <c r="AC102" s="278">
        <f t="shared" si="71"/>
        <v>129.66719330855017</v>
      </c>
      <c r="AD102" s="278"/>
      <c r="AE102" s="278">
        <f t="shared" si="72"/>
        <v>568.4</v>
      </c>
      <c r="AF102" s="278"/>
      <c r="AG102" s="278">
        <f t="shared" si="48"/>
        <v>420.5</v>
      </c>
      <c r="AH102" s="278">
        <f t="shared" si="49"/>
        <v>285.88200000000001</v>
      </c>
      <c r="AI102" s="278">
        <f>+$AI$4*W102</f>
        <v>1740</v>
      </c>
      <c r="AJ102" s="279">
        <f t="shared" si="73"/>
        <v>65.340000000000018</v>
      </c>
      <c r="AK102" s="278">
        <f t="shared" si="50"/>
        <v>14.5</v>
      </c>
      <c r="AL102" s="278"/>
      <c r="AM102" s="279">
        <f t="shared" si="77"/>
        <v>823.98</v>
      </c>
      <c r="AN102" s="278">
        <f t="shared" si="78"/>
        <v>6670</v>
      </c>
      <c r="AO102" s="217">
        <f t="shared" si="43"/>
        <v>0</v>
      </c>
      <c r="AP102" s="217">
        <f t="shared" si="44"/>
        <v>0</v>
      </c>
    </row>
    <row r="103" spans="2:43" s="208" customFormat="1" ht="13.5" hidden="1" thickBot="1">
      <c r="B103" s="212" t="s">
        <v>835</v>
      </c>
      <c r="C103" s="212" t="s">
        <v>836</v>
      </c>
      <c r="D103" s="212" t="s">
        <v>837</v>
      </c>
      <c r="E103" s="212" t="s">
        <v>838</v>
      </c>
      <c r="F103" s="212" t="s">
        <v>839</v>
      </c>
      <c r="G103" s="211">
        <v>9</v>
      </c>
      <c r="H103" s="211" t="str">
        <f t="shared" si="74"/>
        <v>M</v>
      </c>
      <c r="I103" s="212" t="s">
        <v>840</v>
      </c>
      <c r="J103" s="212" t="s">
        <v>542</v>
      </c>
      <c r="K103" s="211">
        <v>1</v>
      </c>
      <c r="L103" s="211">
        <v>100</v>
      </c>
      <c r="M103" s="211">
        <v>1</v>
      </c>
      <c r="N103" s="212" t="s">
        <v>64</v>
      </c>
      <c r="O103" s="212" t="s">
        <v>222</v>
      </c>
      <c r="P103" s="212" t="s">
        <v>54</v>
      </c>
      <c r="Q103" s="212" t="s">
        <v>830</v>
      </c>
      <c r="R103" s="212" t="s">
        <v>175</v>
      </c>
      <c r="S103" s="269"/>
      <c r="T103" s="269"/>
      <c r="U103" s="211">
        <v>0.5</v>
      </c>
      <c r="V103" s="295">
        <v>164225.01</v>
      </c>
      <c r="W103" s="295">
        <f t="shared" si="45"/>
        <v>82112.505000000005</v>
      </c>
      <c r="X103" s="270">
        <f t="shared" si="46"/>
        <v>35879.869863832755</v>
      </c>
      <c r="Y103" s="211">
        <f t="shared" si="47"/>
        <v>117992.37486383275</v>
      </c>
      <c r="Z103" s="271">
        <f t="shared" si="75"/>
        <v>111.6</v>
      </c>
      <c r="AA103" s="271">
        <f t="shared" si="70"/>
        <v>42.9</v>
      </c>
      <c r="AB103" s="271">
        <f t="shared" si="76"/>
        <v>8094</v>
      </c>
      <c r="AC103" s="271">
        <f t="shared" si="71"/>
        <v>648.33596654275084</v>
      </c>
      <c r="AD103" s="271"/>
      <c r="AE103" s="271">
        <f t="shared" si="72"/>
        <v>1609.405098</v>
      </c>
      <c r="AF103" s="271"/>
      <c r="AG103" s="271">
        <f t="shared" si="48"/>
        <v>1190.6313225000001</v>
      </c>
      <c r="AH103" s="271">
        <f t="shared" si="49"/>
        <v>809.46507429000008</v>
      </c>
      <c r="AI103" s="271"/>
      <c r="AJ103" s="216">
        <f t="shared" si="73"/>
        <v>326.70000000000005</v>
      </c>
      <c r="AK103" s="271">
        <f t="shared" si="50"/>
        <v>41.056252500000006</v>
      </c>
      <c r="AL103" s="271"/>
      <c r="AM103" s="216">
        <f t="shared" si="77"/>
        <v>4119.8999999999996</v>
      </c>
      <c r="AN103" s="271">
        <f t="shared" si="78"/>
        <v>18885.876150000004</v>
      </c>
      <c r="AO103" s="272">
        <f t="shared" ref="AO103:AO133" si="79">IF(H103="C",IF(G103&lt;15,W103-(W103/1.025),0),0)</f>
        <v>0</v>
      </c>
      <c r="AP103" s="272">
        <f t="shared" ref="AP103:AP133" si="80">IF(H103="M",IF(G103&lt;15,W103-(W103/1.025),0),0)</f>
        <v>2002.7440243902383</v>
      </c>
    </row>
    <row r="104" spans="2:43" ht="13.5" hidden="1" thickBot="1">
      <c r="B104" s="199" t="s">
        <v>841</v>
      </c>
      <c r="C104" s="199" t="s">
        <v>842</v>
      </c>
      <c r="D104" s="199"/>
      <c r="E104" s="199" t="s">
        <v>669</v>
      </c>
      <c r="F104" s="199" t="s">
        <v>829</v>
      </c>
      <c r="G104" s="200">
        <v>4</v>
      </c>
      <c r="H104" s="197" t="str">
        <f t="shared" si="74"/>
        <v>M</v>
      </c>
      <c r="I104" s="199" t="s">
        <v>559</v>
      </c>
      <c r="J104" s="199" t="s">
        <v>542</v>
      </c>
      <c r="K104" s="200">
        <v>1</v>
      </c>
      <c r="L104" s="200">
        <v>100</v>
      </c>
      <c r="M104" s="200">
        <v>1</v>
      </c>
      <c r="N104" s="199" t="s">
        <v>64</v>
      </c>
      <c r="O104" s="199" t="s">
        <v>305</v>
      </c>
      <c r="P104" s="212" t="s">
        <v>62</v>
      </c>
      <c r="Q104" s="199" t="s">
        <v>560</v>
      </c>
      <c r="R104" s="199" t="s">
        <v>233</v>
      </c>
      <c r="S104" s="201"/>
      <c r="T104" s="201"/>
      <c r="U104" s="200">
        <v>1</v>
      </c>
      <c r="V104" s="298">
        <v>177107.05</v>
      </c>
      <c r="W104" s="298">
        <f t="shared" ref="W104:W135" si="81">+V104*U104</f>
        <v>177107.05</v>
      </c>
      <c r="X104" s="202">
        <f t="shared" ref="X104:X132" si="82">SUM(Z104:AN104)</f>
        <v>75295.318661985511</v>
      </c>
      <c r="Y104" s="200">
        <f t="shared" ref="Y104:Y135" si="83">+W104+X104</f>
        <v>252402.3686619855</v>
      </c>
      <c r="Z104" s="203">
        <f t="shared" si="75"/>
        <v>223.2</v>
      </c>
      <c r="AA104" s="203">
        <f t="shared" si="70"/>
        <v>85.8</v>
      </c>
      <c r="AB104" s="203">
        <f t="shared" si="76"/>
        <v>16188</v>
      </c>
      <c r="AC104" s="203">
        <f t="shared" si="71"/>
        <v>1296.6719330855017</v>
      </c>
      <c r="AD104" s="203"/>
      <c r="AE104" s="203">
        <f t="shared" si="72"/>
        <v>3471.2981799999998</v>
      </c>
      <c r="AF104" s="203"/>
      <c r="AG104" s="203">
        <f t="shared" ref="AG104:AG135" si="84">+W104*$AG$4</f>
        <v>2568.0522249999999</v>
      </c>
      <c r="AH104" s="203">
        <f t="shared" ref="AH104:AH135" si="85">+W104*$AH$4</f>
        <v>1745.9212989</v>
      </c>
      <c r="AI104" s="203"/>
      <c r="AJ104" s="204">
        <f t="shared" si="73"/>
        <v>653.40000000000009</v>
      </c>
      <c r="AK104" s="203">
        <f t="shared" ref="AK104:AK135" si="86">+W104*$AK$4</f>
        <v>88.553524999999993</v>
      </c>
      <c r="AL104" s="203"/>
      <c r="AM104" s="204">
        <f t="shared" si="77"/>
        <v>8239.7999999999993</v>
      </c>
      <c r="AN104" s="203">
        <f t="shared" si="78"/>
        <v>40734.621500000001</v>
      </c>
      <c r="AO104" s="217">
        <f t="shared" si="79"/>
        <v>0</v>
      </c>
      <c r="AP104" s="217">
        <f t="shared" si="80"/>
        <v>4319.6841463414603</v>
      </c>
    </row>
    <row r="105" spans="2:43" ht="13.5" hidden="1" thickBot="1">
      <c r="B105" s="199" t="s">
        <v>843</v>
      </c>
      <c r="C105" s="199" t="s">
        <v>844</v>
      </c>
      <c r="D105" s="199" t="s">
        <v>845</v>
      </c>
      <c r="E105" s="199" t="s">
        <v>846</v>
      </c>
      <c r="F105" s="199" t="s">
        <v>565</v>
      </c>
      <c r="G105" s="200">
        <v>12</v>
      </c>
      <c r="H105" s="197" t="str">
        <f t="shared" si="74"/>
        <v>M</v>
      </c>
      <c r="I105" s="199" t="s">
        <v>559</v>
      </c>
      <c r="J105" s="199" t="s">
        <v>542</v>
      </c>
      <c r="K105" s="200">
        <v>1</v>
      </c>
      <c r="L105" s="200">
        <v>100</v>
      </c>
      <c r="M105" s="200">
        <v>1</v>
      </c>
      <c r="N105" s="199" t="s">
        <v>64</v>
      </c>
      <c r="O105" s="199" t="s">
        <v>292</v>
      </c>
      <c r="P105" s="212" t="s">
        <v>55</v>
      </c>
      <c r="Q105" s="199" t="s">
        <v>560</v>
      </c>
      <c r="R105" s="199" t="s">
        <v>233</v>
      </c>
      <c r="S105" s="201"/>
      <c r="T105" s="201"/>
      <c r="U105" s="200">
        <v>1</v>
      </c>
      <c r="V105" s="298">
        <v>111930.39</v>
      </c>
      <c r="W105" s="298">
        <f t="shared" si="81"/>
        <v>111930.39</v>
      </c>
      <c r="X105" s="202">
        <f t="shared" si="82"/>
        <v>56106.9470917055</v>
      </c>
      <c r="Y105" s="200">
        <f t="shared" si="83"/>
        <v>168037.3370917055</v>
      </c>
      <c r="Z105" s="203">
        <f t="shared" si="75"/>
        <v>223.2</v>
      </c>
      <c r="AA105" s="203">
        <f t="shared" si="70"/>
        <v>85.8</v>
      </c>
      <c r="AB105" s="203">
        <f t="shared" si="76"/>
        <v>16188</v>
      </c>
      <c r="AC105" s="203">
        <f t="shared" si="71"/>
        <v>1296.6719330855017</v>
      </c>
      <c r="AD105" s="203"/>
      <c r="AE105" s="203">
        <f t="shared" si="72"/>
        <v>2193.8356439999998</v>
      </c>
      <c r="AF105" s="203"/>
      <c r="AG105" s="203">
        <f t="shared" si="84"/>
        <v>1622.9906550000001</v>
      </c>
      <c r="AH105" s="203">
        <f t="shared" si="85"/>
        <v>1103.40978462</v>
      </c>
      <c r="AI105" s="203"/>
      <c r="AJ105" s="204">
        <f t="shared" si="73"/>
        <v>653.40000000000009</v>
      </c>
      <c r="AK105" s="203">
        <f t="shared" si="86"/>
        <v>55.965195000000001</v>
      </c>
      <c r="AL105" s="203"/>
      <c r="AM105" s="204">
        <f t="shared" si="77"/>
        <v>6939.6841800000002</v>
      </c>
      <c r="AN105" s="203">
        <f t="shared" si="78"/>
        <v>25743.989700000002</v>
      </c>
      <c r="AO105" s="217">
        <f t="shared" si="79"/>
        <v>0</v>
      </c>
      <c r="AP105" s="217">
        <f t="shared" si="80"/>
        <v>2730.0095121951163</v>
      </c>
    </row>
    <row r="106" spans="2:43" ht="13.5" hidden="1" thickBot="1">
      <c r="B106" s="199" t="s">
        <v>847</v>
      </c>
      <c r="C106" s="199" t="s">
        <v>848</v>
      </c>
      <c r="D106" s="199" t="s">
        <v>849</v>
      </c>
      <c r="E106" s="199" t="s">
        <v>850</v>
      </c>
      <c r="F106" s="199" t="s">
        <v>851</v>
      </c>
      <c r="G106" s="200">
        <v>9</v>
      </c>
      <c r="H106" s="197" t="str">
        <f t="shared" si="74"/>
        <v>M</v>
      </c>
      <c r="I106" s="199" t="s">
        <v>559</v>
      </c>
      <c r="J106" s="199" t="s">
        <v>542</v>
      </c>
      <c r="K106" s="200">
        <v>1</v>
      </c>
      <c r="L106" s="200">
        <v>100</v>
      </c>
      <c r="M106" s="200">
        <v>1</v>
      </c>
      <c r="N106" s="199" t="s">
        <v>64</v>
      </c>
      <c r="O106" s="199" t="s">
        <v>229</v>
      </c>
      <c r="P106" s="212" t="s">
        <v>55</v>
      </c>
      <c r="Q106" s="199" t="s">
        <v>560</v>
      </c>
      <c r="R106" s="199" t="s">
        <v>233</v>
      </c>
      <c r="S106" s="201"/>
      <c r="T106" s="201"/>
      <c r="U106" s="200">
        <v>1</v>
      </c>
      <c r="V106" s="298">
        <v>142169.29</v>
      </c>
      <c r="W106" s="298">
        <f t="shared" si="81"/>
        <v>142169.29</v>
      </c>
      <c r="X106" s="202">
        <f t="shared" si="82"/>
        <v>65706.370927905504</v>
      </c>
      <c r="Y106" s="200">
        <f t="shared" si="83"/>
        <v>207875.66092790553</v>
      </c>
      <c r="Z106" s="203">
        <f t="shared" si="75"/>
        <v>223.2</v>
      </c>
      <c r="AA106" s="203">
        <f t="shared" si="70"/>
        <v>85.8</v>
      </c>
      <c r="AB106" s="203">
        <f t="shared" si="76"/>
        <v>16188</v>
      </c>
      <c r="AC106" s="203">
        <f t="shared" si="71"/>
        <v>1296.6719330855017</v>
      </c>
      <c r="AD106" s="203"/>
      <c r="AE106" s="203">
        <f t="shared" si="72"/>
        <v>2786.5180840000003</v>
      </c>
      <c r="AF106" s="203"/>
      <c r="AG106" s="203">
        <f t="shared" si="84"/>
        <v>2061.4547050000001</v>
      </c>
      <c r="AH106" s="203">
        <f t="shared" si="85"/>
        <v>1401.5048608200002</v>
      </c>
      <c r="AI106" s="203"/>
      <c r="AJ106" s="204">
        <f t="shared" si="73"/>
        <v>653.40000000000009</v>
      </c>
      <c r="AK106" s="203">
        <f t="shared" si="86"/>
        <v>71.084645000000009</v>
      </c>
      <c r="AL106" s="203"/>
      <c r="AM106" s="204">
        <f t="shared" si="77"/>
        <v>8239.7999999999993</v>
      </c>
      <c r="AN106" s="203">
        <f t="shared" si="78"/>
        <v>32698.936700000002</v>
      </c>
      <c r="AO106" s="217">
        <f t="shared" si="79"/>
        <v>0</v>
      </c>
      <c r="AP106" s="217">
        <f t="shared" si="80"/>
        <v>3467.5436585365678</v>
      </c>
      <c r="AQ106" s="184" t="s">
        <v>806</v>
      </c>
    </row>
    <row r="107" spans="2:43" ht="13.5" hidden="1" thickBot="1">
      <c r="B107" s="199" t="s">
        <v>852</v>
      </c>
      <c r="C107" s="199" t="s">
        <v>853</v>
      </c>
      <c r="D107" s="199"/>
      <c r="E107" s="199" t="s">
        <v>669</v>
      </c>
      <c r="F107" s="199" t="s">
        <v>829</v>
      </c>
      <c r="G107" s="200">
        <v>8</v>
      </c>
      <c r="H107" s="197" t="str">
        <f t="shared" si="74"/>
        <v>M</v>
      </c>
      <c r="I107" s="199" t="s">
        <v>559</v>
      </c>
      <c r="J107" s="199" t="s">
        <v>542</v>
      </c>
      <c r="K107" s="200">
        <v>1</v>
      </c>
      <c r="L107" s="200">
        <v>100</v>
      </c>
      <c r="M107" s="200">
        <v>1</v>
      </c>
      <c r="N107" s="199" t="s">
        <v>64</v>
      </c>
      <c r="O107" s="199" t="s">
        <v>343</v>
      </c>
      <c r="P107" s="212" t="s">
        <v>57</v>
      </c>
      <c r="Q107" s="199" t="s">
        <v>560</v>
      </c>
      <c r="R107" s="199" t="s">
        <v>345</v>
      </c>
      <c r="S107" s="201"/>
      <c r="T107" s="201"/>
      <c r="U107" s="200">
        <v>1</v>
      </c>
      <c r="V107" s="298">
        <v>195493.05</v>
      </c>
      <c r="W107" s="298">
        <f t="shared" si="81"/>
        <v>195493.05</v>
      </c>
      <c r="X107" s="202">
        <f t="shared" si="82"/>
        <v>80341.503449985496</v>
      </c>
      <c r="Y107" s="200">
        <f t="shared" si="83"/>
        <v>275834.55344998545</v>
      </c>
      <c r="Z107" s="203">
        <f t="shared" si="75"/>
        <v>223.2</v>
      </c>
      <c r="AA107" s="203">
        <f t="shared" si="70"/>
        <v>85.8</v>
      </c>
      <c r="AB107" s="203">
        <f t="shared" si="76"/>
        <v>16188</v>
      </c>
      <c r="AC107" s="203">
        <f t="shared" si="71"/>
        <v>1296.6719330855017</v>
      </c>
      <c r="AD107" s="203"/>
      <c r="AE107" s="203">
        <f t="shared" si="72"/>
        <v>3831.6637799999999</v>
      </c>
      <c r="AF107" s="203"/>
      <c r="AG107" s="203">
        <f t="shared" si="84"/>
        <v>2834.6492250000001</v>
      </c>
      <c r="AH107" s="203">
        <f t="shared" si="85"/>
        <v>1927.1704869</v>
      </c>
      <c r="AI107" s="203"/>
      <c r="AJ107" s="204">
        <f t="shared" si="73"/>
        <v>653.40000000000009</v>
      </c>
      <c r="AK107" s="203">
        <f t="shared" si="86"/>
        <v>97.746524999999991</v>
      </c>
      <c r="AL107" s="203"/>
      <c r="AM107" s="204">
        <f t="shared" si="77"/>
        <v>8239.7999999999993</v>
      </c>
      <c r="AN107" s="203">
        <f t="shared" si="78"/>
        <v>44963.4015</v>
      </c>
      <c r="AO107" s="217">
        <f t="shared" si="79"/>
        <v>0</v>
      </c>
      <c r="AP107" s="217">
        <f t="shared" si="80"/>
        <v>4768.1231707316765</v>
      </c>
    </row>
    <row r="108" spans="2:43" ht="13.5" hidden="1" thickBot="1">
      <c r="B108" s="199" t="s">
        <v>854</v>
      </c>
      <c r="C108" s="199" t="s">
        <v>855</v>
      </c>
      <c r="D108" s="199" t="s">
        <v>856</v>
      </c>
      <c r="E108" s="199" t="s">
        <v>857</v>
      </c>
      <c r="F108" s="199" t="s">
        <v>851</v>
      </c>
      <c r="G108" s="200">
        <v>3</v>
      </c>
      <c r="H108" s="197" t="str">
        <f t="shared" si="74"/>
        <v>M</v>
      </c>
      <c r="I108" s="199" t="s">
        <v>559</v>
      </c>
      <c r="J108" s="199" t="s">
        <v>542</v>
      </c>
      <c r="K108" s="200">
        <v>1</v>
      </c>
      <c r="L108" s="200">
        <v>100</v>
      </c>
      <c r="M108" s="200">
        <v>1</v>
      </c>
      <c r="N108" s="199" t="s">
        <v>64</v>
      </c>
      <c r="O108" s="199" t="s">
        <v>172</v>
      </c>
      <c r="P108" s="212" t="s">
        <v>53</v>
      </c>
      <c r="Q108" s="199" t="s">
        <v>560</v>
      </c>
      <c r="R108" s="199" t="s">
        <v>175</v>
      </c>
      <c r="S108" s="201"/>
      <c r="T108" s="201"/>
      <c r="U108" s="200">
        <v>1</v>
      </c>
      <c r="V108" s="298">
        <v>122592.14</v>
      </c>
      <c r="W108" s="298">
        <f t="shared" si="81"/>
        <v>122592.14</v>
      </c>
      <c r="X108" s="202">
        <f t="shared" si="82"/>
        <v>59694.178173205502</v>
      </c>
      <c r="Y108" s="200">
        <f t="shared" si="83"/>
        <v>182286.31817320551</v>
      </c>
      <c r="Z108" s="203">
        <f t="shared" si="75"/>
        <v>223.2</v>
      </c>
      <c r="AA108" s="203">
        <f t="shared" si="70"/>
        <v>85.8</v>
      </c>
      <c r="AB108" s="203">
        <f t="shared" si="76"/>
        <v>16188</v>
      </c>
      <c r="AC108" s="203">
        <f t="shared" si="71"/>
        <v>1296.6719330855017</v>
      </c>
      <c r="AD108" s="203"/>
      <c r="AE108" s="203">
        <f t="shared" si="72"/>
        <v>2402.8059439999997</v>
      </c>
      <c r="AF108" s="203"/>
      <c r="AG108" s="203">
        <f t="shared" si="84"/>
        <v>1777.5860300000002</v>
      </c>
      <c r="AH108" s="203">
        <f t="shared" si="85"/>
        <v>1208.5133161200001</v>
      </c>
      <c r="AI108" s="203"/>
      <c r="AJ108" s="204">
        <f t="shared" si="73"/>
        <v>653.40000000000009</v>
      </c>
      <c r="AK108" s="203">
        <f t="shared" si="86"/>
        <v>61.29607</v>
      </c>
      <c r="AL108" s="203"/>
      <c r="AM108" s="204">
        <f t="shared" si="77"/>
        <v>7600.7126799999996</v>
      </c>
      <c r="AN108" s="203">
        <f t="shared" si="78"/>
        <v>28196.192200000001</v>
      </c>
      <c r="AO108" s="217">
        <f t="shared" si="79"/>
        <v>0</v>
      </c>
      <c r="AP108" s="217">
        <f t="shared" si="80"/>
        <v>2990.0521951219416</v>
      </c>
    </row>
    <row r="109" spans="2:43" ht="13.5" hidden="1" thickBot="1">
      <c r="B109" s="199" t="s">
        <v>858</v>
      </c>
      <c r="C109" s="199" t="s">
        <v>859</v>
      </c>
      <c r="D109" s="199" t="s">
        <v>860</v>
      </c>
      <c r="E109" s="199" t="s">
        <v>861</v>
      </c>
      <c r="F109" s="199" t="s">
        <v>565</v>
      </c>
      <c r="G109" s="200">
        <v>6</v>
      </c>
      <c r="H109" s="197" t="str">
        <f t="shared" si="74"/>
        <v>M</v>
      </c>
      <c r="I109" s="199" t="s">
        <v>559</v>
      </c>
      <c r="J109" s="199" t="s">
        <v>542</v>
      </c>
      <c r="K109" s="200">
        <v>1</v>
      </c>
      <c r="L109" s="200">
        <v>100</v>
      </c>
      <c r="M109" s="200">
        <v>1</v>
      </c>
      <c r="N109" s="199" t="s">
        <v>64</v>
      </c>
      <c r="O109" s="199" t="s">
        <v>365</v>
      </c>
      <c r="P109" s="212" t="s">
        <v>57</v>
      </c>
      <c r="Q109" s="199" t="s">
        <v>560</v>
      </c>
      <c r="R109" s="199" t="s">
        <v>345</v>
      </c>
      <c r="S109" s="201"/>
      <c r="T109" s="201"/>
      <c r="U109" s="200">
        <v>1</v>
      </c>
      <c r="V109" s="298">
        <v>96517.23</v>
      </c>
      <c r="W109" s="298">
        <f t="shared" si="81"/>
        <v>96517.23</v>
      </c>
      <c r="X109" s="202">
        <f t="shared" si="82"/>
        <v>50921.066104425496</v>
      </c>
      <c r="Y109" s="200">
        <f t="shared" si="83"/>
        <v>147438.29610442551</v>
      </c>
      <c r="Z109" s="203">
        <f t="shared" si="75"/>
        <v>223.2</v>
      </c>
      <c r="AA109" s="203">
        <f t="shared" si="70"/>
        <v>85.8</v>
      </c>
      <c r="AB109" s="203">
        <f t="shared" si="76"/>
        <v>16188</v>
      </c>
      <c r="AC109" s="203">
        <f t="shared" si="71"/>
        <v>1296.6719330855017</v>
      </c>
      <c r="AD109" s="203"/>
      <c r="AE109" s="203">
        <f t="shared" si="72"/>
        <v>1891.7377079999999</v>
      </c>
      <c r="AF109" s="203"/>
      <c r="AG109" s="203">
        <f t="shared" si="84"/>
        <v>1399.4998350000001</v>
      </c>
      <c r="AH109" s="203">
        <f t="shared" si="85"/>
        <v>951.46685334000006</v>
      </c>
      <c r="AI109" s="203"/>
      <c r="AJ109" s="204">
        <f t="shared" si="73"/>
        <v>653.40000000000009</v>
      </c>
      <c r="AK109" s="203">
        <f t="shared" si="86"/>
        <v>48.258614999999999</v>
      </c>
      <c r="AL109" s="203"/>
      <c r="AM109" s="204">
        <f t="shared" si="77"/>
        <v>5984.06826</v>
      </c>
      <c r="AN109" s="203">
        <f t="shared" si="78"/>
        <v>22198.962899999999</v>
      </c>
      <c r="AO109" s="217">
        <f t="shared" si="79"/>
        <v>0</v>
      </c>
      <c r="AP109" s="217">
        <f t="shared" si="80"/>
        <v>2354.0787804877909</v>
      </c>
    </row>
    <row r="110" spans="2:43" ht="13.5" hidden="1" thickBot="1">
      <c r="B110" s="198" t="s">
        <v>862</v>
      </c>
      <c r="C110" s="198" t="s">
        <v>863</v>
      </c>
      <c r="D110" s="198" t="s">
        <v>864</v>
      </c>
      <c r="E110" s="198" t="s">
        <v>865</v>
      </c>
      <c r="F110" s="198" t="s">
        <v>586</v>
      </c>
      <c r="G110" s="197">
        <v>9</v>
      </c>
      <c r="H110" s="197" t="str">
        <f t="shared" si="74"/>
        <v>M</v>
      </c>
      <c r="I110" s="198" t="s">
        <v>559</v>
      </c>
      <c r="J110" s="198" t="s">
        <v>542</v>
      </c>
      <c r="K110" s="197">
        <v>1</v>
      </c>
      <c r="L110" s="197">
        <v>100</v>
      </c>
      <c r="M110" s="197">
        <v>1</v>
      </c>
      <c r="N110" s="198" t="s">
        <v>64</v>
      </c>
      <c r="O110" s="198" t="s">
        <v>367</v>
      </c>
      <c r="P110" s="212" t="s">
        <v>57</v>
      </c>
      <c r="Q110" s="198" t="s">
        <v>560</v>
      </c>
      <c r="R110" s="198" t="s">
        <v>345</v>
      </c>
      <c r="S110" s="205"/>
      <c r="T110" s="205"/>
      <c r="U110" s="197">
        <v>1</v>
      </c>
      <c r="V110" s="296">
        <v>114898.51</v>
      </c>
      <c r="W110" s="296">
        <f t="shared" si="81"/>
        <v>114898.51</v>
      </c>
      <c r="X110" s="206">
        <f t="shared" si="82"/>
        <v>57105.594810665498</v>
      </c>
      <c r="Y110" s="197">
        <f t="shared" si="83"/>
        <v>172004.10481066548</v>
      </c>
      <c r="Z110" s="207">
        <f t="shared" si="75"/>
        <v>223.2</v>
      </c>
      <c r="AA110" s="207">
        <f t="shared" si="70"/>
        <v>85.8</v>
      </c>
      <c r="AB110" s="207">
        <f t="shared" si="76"/>
        <v>16188</v>
      </c>
      <c r="AC110" s="207">
        <f t="shared" si="71"/>
        <v>1296.6719330855017</v>
      </c>
      <c r="AD110" s="207"/>
      <c r="AE110" s="207">
        <f t="shared" si="72"/>
        <v>2252.010796</v>
      </c>
      <c r="AF110" s="207"/>
      <c r="AG110" s="207">
        <f t="shared" si="84"/>
        <v>1666.028395</v>
      </c>
      <c r="AH110" s="207">
        <f t="shared" si="85"/>
        <v>1132.6695115800001</v>
      </c>
      <c r="AI110" s="207"/>
      <c r="AJ110" s="204">
        <f t="shared" si="73"/>
        <v>653.40000000000009</v>
      </c>
      <c r="AK110" s="207">
        <f t="shared" si="86"/>
        <v>57.449255000000001</v>
      </c>
      <c r="AL110" s="207"/>
      <c r="AM110" s="204">
        <f t="shared" si="77"/>
        <v>7123.7076199999992</v>
      </c>
      <c r="AN110" s="207">
        <f t="shared" si="78"/>
        <v>26426.657299999999</v>
      </c>
      <c r="AO110" s="217">
        <f t="shared" si="79"/>
        <v>0</v>
      </c>
      <c r="AP110" s="217">
        <f t="shared" si="80"/>
        <v>2802.4026829268259</v>
      </c>
    </row>
    <row r="111" spans="2:43" ht="13.5" hidden="1" thickBot="1">
      <c r="B111" s="199" t="s">
        <v>866</v>
      </c>
      <c r="C111" s="199" t="s">
        <v>867</v>
      </c>
      <c r="D111" s="199"/>
      <c r="E111" s="199" t="s">
        <v>669</v>
      </c>
      <c r="F111" s="199" t="s">
        <v>565</v>
      </c>
      <c r="G111" s="200">
        <v>8</v>
      </c>
      <c r="H111" s="197" t="str">
        <f t="shared" si="74"/>
        <v>M</v>
      </c>
      <c r="I111" s="199" t="s">
        <v>559</v>
      </c>
      <c r="J111" s="199" t="s">
        <v>542</v>
      </c>
      <c r="K111" s="200">
        <v>1</v>
      </c>
      <c r="L111" s="200">
        <v>100</v>
      </c>
      <c r="M111" s="200">
        <v>1</v>
      </c>
      <c r="N111" s="199" t="s">
        <v>64</v>
      </c>
      <c r="O111" s="199" t="s">
        <v>369</v>
      </c>
      <c r="P111" s="212" t="s">
        <v>57</v>
      </c>
      <c r="Q111" s="199" t="s">
        <v>560</v>
      </c>
      <c r="R111" s="199" t="s">
        <v>345</v>
      </c>
      <c r="S111" s="201"/>
      <c r="T111" s="201"/>
      <c r="U111" s="200">
        <v>1</v>
      </c>
      <c r="V111" s="298">
        <v>101403.41</v>
      </c>
      <c r="W111" s="298">
        <f t="shared" si="81"/>
        <v>101403.41</v>
      </c>
      <c r="X111" s="202">
        <f t="shared" si="82"/>
        <v>52565.060454865503</v>
      </c>
      <c r="Y111" s="200">
        <f t="shared" si="83"/>
        <v>153968.47045486551</v>
      </c>
      <c r="Z111" s="203">
        <f t="shared" si="75"/>
        <v>223.2</v>
      </c>
      <c r="AA111" s="203">
        <f t="shared" si="70"/>
        <v>85.8</v>
      </c>
      <c r="AB111" s="203">
        <f t="shared" si="76"/>
        <v>16188</v>
      </c>
      <c r="AC111" s="203">
        <f t="shared" si="71"/>
        <v>1296.6719330855017</v>
      </c>
      <c r="AD111" s="203"/>
      <c r="AE111" s="203">
        <f t="shared" si="72"/>
        <v>1987.506836</v>
      </c>
      <c r="AF111" s="203"/>
      <c r="AG111" s="203">
        <f t="shared" si="84"/>
        <v>1470.3494450000001</v>
      </c>
      <c r="AH111" s="203">
        <f t="shared" si="85"/>
        <v>999.63481578000005</v>
      </c>
      <c r="AI111" s="203"/>
      <c r="AJ111" s="204">
        <f t="shared" si="73"/>
        <v>653.40000000000009</v>
      </c>
      <c r="AK111" s="203">
        <f t="shared" si="86"/>
        <v>50.701705000000004</v>
      </c>
      <c r="AL111" s="203"/>
      <c r="AM111" s="204">
        <f t="shared" si="77"/>
        <v>6287.0114199999998</v>
      </c>
      <c r="AN111" s="203">
        <f t="shared" si="78"/>
        <v>23322.784300000003</v>
      </c>
      <c r="AO111" s="217">
        <f t="shared" si="79"/>
        <v>0</v>
      </c>
      <c r="AP111" s="217">
        <f t="shared" si="80"/>
        <v>2473.2539024390135</v>
      </c>
    </row>
    <row r="112" spans="2:43" ht="13.5" hidden="1" thickBot="1">
      <c r="B112" s="199" t="s">
        <v>868</v>
      </c>
      <c r="C112" s="199" t="s">
        <v>869</v>
      </c>
      <c r="D112" s="199" t="s">
        <v>870</v>
      </c>
      <c r="E112" s="199" t="s">
        <v>871</v>
      </c>
      <c r="F112" s="199" t="s">
        <v>805</v>
      </c>
      <c r="G112" s="200">
        <v>6</v>
      </c>
      <c r="H112" s="197" t="str">
        <f t="shared" si="74"/>
        <v>M</v>
      </c>
      <c r="I112" s="199" t="s">
        <v>559</v>
      </c>
      <c r="J112" s="199" t="s">
        <v>542</v>
      </c>
      <c r="K112" s="200">
        <v>1</v>
      </c>
      <c r="L112" s="200">
        <v>100</v>
      </c>
      <c r="M112" s="200">
        <v>1</v>
      </c>
      <c r="N112" s="199" t="s">
        <v>64</v>
      </c>
      <c r="O112" s="199" t="s">
        <v>374</v>
      </c>
      <c r="P112" s="212" t="s">
        <v>60</v>
      </c>
      <c r="Q112" s="199" t="s">
        <v>560</v>
      </c>
      <c r="R112" s="199" t="s">
        <v>239</v>
      </c>
      <c r="S112" s="201"/>
      <c r="T112" s="201"/>
      <c r="U112" s="200">
        <v>1</v>
      </c>
      <c r="V112" s="298">
        <v>81005.42</v>
      </c>
      <c r="W112" s="298">
        <f t="shared" si="81"/>
        <v>81005.42</v>
      </c>
      <c r="X112" s="202">
        <f t="shared" si="82"/>
        <v>45701.993535445508</v>
      </c>
      <c r="Y112" s="200">
        <f t="shared" si="83"/>
        <v>126707.41353544551</v>
      </c>
      <c r="Z112" s="203">
        <f t="shared" si="75"/>
        <v>223.2</v>
      </c>
      <c r="AA112" s="203">
        <f t="shared" si="70"/>
        <v>85.8</v>
      </c>
      <c r="AB112" s="203">
        <f t="shared" si="76"/>
        <v>16188</v>
      </c>
      <c r="AC112" s="203">
        <f t="shared" si="71"/>
        <v>1296.6719330855017</v>
      </c>
      <c r="AD112" s="203"/>
      <c r="AE112" s="203">
        <f t="shared" si="72"/>
        <v>1587.706232</v>
      </c>
      <c r="AF112" s="203"/>
      <c r="AG112" s="203">
        <f t="shared" si="84"/>
        <v>1174.5785900000001</v>
      </c>
      <c r="AH112" s="203">
        <f t="shared" si="85"/>
        <v>798.55143036000004</v>
      </c>
      <c r="AI112" s="203"/>
      <c r="AJ112" s="204">
        <f t="shared" si="73"/>
        <v>653.40000000000009</v>
      </c>
      <c r="AK112" s="203">
        <f t="shared" si="86"/>
        <v>40.50271</v>
      </c>
      <c r="AL112" s="203"/>
      <c r="AM112" s="204">
        <f t="shared" si="77"/>
        <v>5022.3360400000001</v>
      </c>
      <c r="AN112" s="203">
        <f t="shared" si="78"/>
        <v>18631.246600000002</v>
      </c>
      <c r="AO112" s="217">
        <f t="shared" si="79"/>
        <v>0</v>
      </c>
      <c r="AP112" s="217">
        <f t="shared" si="80"/>
        <v>1975.7419512195047</v>
      </c>
    </row>
    <row r="113" spans="2:42" s="208" customFormat="1" ht="13.5" hidden="1" thickBot="1">
      <c r="B113" s="199" t="s">
        <v>872</v>
      </c>
      <c r="C113" s="199" t="s">
        <v>873</v>
      </c>
      <c r="D113" s="199"/>
      <c r="E113" s="256" t="s">
        <v>874</v>
      </c>
      <c r="F113" s="199" t="s">
        <v>851</v>
      </c>
      <c r="G113" s="200">
        <v>4</v>
      </c>
      <c r="H113" s="197" t="str">
        <f t="shared" si="74"/>
        <v>M</v>
      </c>
      <c r="I113" s="199" t="s">
        <v>559</v>
      </c>
      <c r="J113" s="199" t="s">
        <v>542</v>
      </c>
      <c r="K113" s="200">
        <v>1</v>
      </c>
      <c r="L113" s="200">
        <v>100</v>
      </c>
      <c r="M113" s="200">
        <v>1</v>
      </c>
      <c r="N113" s="199" t="s">
        <v>64</v>
      </c>
      <c r="O113" s="199" t="s">
        <v>343</v>
      </c>
      <c r="P113" s="212" t="s">
        <v>57</v>
      </c>
      <c r="Q113" s="199" t="s">
        <v>560</v>
      </c>
      <c r="R113" s="199" t="s">
        <v>345</v>
      </c>
      <c r="S113" s="201"/>
      <c r="T113" s="201"/>
      <c r="U113" s="200">
        <v>1</v>
      </c>
      <c r="V113" s="298">
        <v>125656.94</v>
      </c>
      <c r="W113" s="298">
        <f t="shared" si="81"/>
        <v>125656.94</v>
      </c>
      <c r="X113" s="202">
        <f t="shared" si="82"/>
        <v>60725.354651605507</v>
      </c>
      <c r="Y113" s="200">
        <f t="shared" si="83"/>
        <v>186382.29465160551</v>
      </c>
      <c r="Z113" s="203">
        <f t="shared" si="75"/>
        <v>223.2</v>
      </c>
      <c r="AA113" s="203">
        <f t="shared" si="70"/>
        <v>85.8</v>
      </c>
      <c r="AB113" s="203">
        <f t="shared" si="76"/>
        <v>16188</v>
      </c>
      <c r="AC113" s="203">
        <f t="shared" si="71"/>
        <v>1296.6719330855017</v>
      </c>
      <c r="AD113" s="203"/>
      <c r="AE113" s="203">
        <f t="shared" si="72"/>
        <v>2462.8760240000001</v>
      </c>
      <c r="AF113" s="203"/>
      <c r="AG113" s="203">
        <f t="shared" si="84"/>
        <v>1822.0256300000001</v>
      </c>
      <c r="AH113" s="203">
        <f t="shared" si="85"/>
        <v>1238.72611452</v>
      </c>
      <c r="AI113" s="203"/>
      <c r="AJ113" s="204">
        <f t="shared" si="73"/>
        <v>653.40000000000009</v>
      </c>
      <c r="AK113" s="203">
        <f t="shared" si="86"/>
        <v>62.828470000000003</v>
      </c>
      <c r="AL113" s="203"/>
      <c r="AM113" s="204">
        <f t="shared" si="77"/>
        <v>7790.7302799999998</v>
      </c>
      <c r="AN113" s="203">
        <f t="shared" si="78"/>
        <v>28901.096200000004</v>
      </c>
      <c r="AO113" s="272">
        <f t="shared" si="79"/>
        <v>0</v>
      </c>
      <c r="AP113" s="272">
        <f t="shared" si="80"/>
        <v>3064.8034146341379</v>
      </c>
    </row>
    <row r="114" spans="2:42" s="208" customFormat="1" ht="13.5" hidden="1" thickBot="1">
      <c r="B114" s="199" t="s">
        <v>875</v>
      </c>
      <c r="C114" s="199" t="s">
        <v>876</v>
      </c>
      <c r="D114" s="199" t="s">
        <v>877</v>
      </c>
      <c r="E114" s="199" t="s">
        <v>878</v>
      </c>
      <c r="F114" s="199" t="s">
        <v>565</v>
      </c>
      <c r="G114" s="200">
        <v>10</v>
      </c>
      <c r="H114" s="197" t="str">
        <f t="shared" si="74"/>
        <v>M</v>
      </c>
      <c r="I114" s="199" t="s">
        <v>559</v>
      </c>
      <c r="J114" s="199" t="s">
        <v>542</v>
      </c>
      <c r="K114" s="200">
        <v>1</v>
      </c>
      <c r="L114" s="200">
        <v>100</v>
      </c>
      <c r="M114" s="200">
        <v>1</v>
      </c>
      <c r="N114" s="199" t="s">
        <v>64</v>
      </c>
      <c r="O114" s="199" t="s">
        <v>371</v>
      </c>
      <c r="P114" s="212" t="s">
        <v>57</v>
      </c>
      <c r="Q114" s="199" t="s">
        <v>560</v>
      </c>
      <c r="R114" s="199" t="s">
        <v>345</v>
      </c>
      <c r="S114" s="201"/>
      <c r="T114" s="201"/>
      <c r="U114" s="200">
        <v>1</v>
      </c>
      <c r="V114" s="298">
        <v>106536.96000000001</v>
      </c>
      <c r="W114" s="298">
        <f t="shared" si="81"/>
        <v>106536.96000000001</v>
      </c>
      <c r="X114" s="202">
        <f t="shared" si="82"/>
        <v>54292.2844207655</v>
      </c>
      <c r="Y114" s="200">
        <f t="shared" si="83"/>
        <v>160829.24442076549</v>
      </c>
      <c r="Z114" s="203">
        <f t="shared" si="75"/>
        <v>223.2</v>
      </c>
      <c r="AA114" s="203">
        <f t="shared" si="70"/>
        <v>85.8</v>
      </c>
      <c r="AB114" s="203">
        <f t="shared" si="76"/>
        <v>16188</v>
      </c>
      <c r="AC114" s="203">
        <f t="shared" si="71"/>
        <v>1296.6719330855017</v>
      </c>
      <c r="AD114" s="203"/>
      <c r="AE114" s="203">
        <f t="shared" si="72"/>
        <v>2088.1244160000001</v>
      </c>
      <c r="AF114" s="203"/>
      <c r="AG114" s="203">
        <f t="shared" si="84"/>
        <v>1544.7859200000003</v>
      </c>
      <c r="AH114" s="203">
        <f t="shared" si="85"/>
        <v>1050.2413516800002</v>
      </c>
      <c r="AI114" s="203"/>
      <c r="AJ114" s="204">
        <f t="shared" si="73"/>
        <v>653.40000000000009</v>
      </c>
      <c r="AK114" s="203">
        <f t="shared" si="86"/>
        <v>53.268480000000004</v>
      </c>
      <c r="AL114" s="203"/>
      <c r="AM114" s="204">
        <f t="shared" si="77"/>
        <v>6605.2915200000007</v>
      </c>
      <c r="AN114" s="203">
        <f t="shared" si="78"/>
        <v>24503.500800000002</v>
      </c>
      <c r="AO114" s="272">
        <f t="shared" si="79"/>
        <v>0</v>
      </c>
      <c r="AP114" s="272">
        <f t="shared" si="80"/>
        <v>2598.4624390243844</v>
      </c>
    </row>
    <row r="115" spans="2:42" ht="13.5" hidden="1" thickBot="1">
      <c r="B115" s="199" t="s">
        <v>879</v>
      </c>
      <c r="C115" s="199" t="s">
        <v>880</v>
      </c>
      <c r="D115" s="199" t="s">
        <v>881</v>
      </c>
      <c r="E115" s="199" t="s">
        <v>882</v>
      </c>
      <c r="F115" s="199" t="s">
        <v>565</v>
      </c>
      <c r="G115" s="200">
        <v>5</v>
      </c>
      <c r="H115" s="197" t="str">
        <f t="shared" si="74"/>
        <v>M</v>
      </c>
      <c r="I115" s="199" t="s">
        <v>559</v>
      </c>
      <c r="J115" s="199" t="s">
        <v>542</v>
      </c>
      <c r="K115" s="200">
        <v>1</v>
      </c>
      <c r="L115" s="200">
        <v>100</v>
      </c>
      <c r="M115" s="200">
        <v>1</v>
      </c>
      <c r="N115" s="199" t="s">
        <v>64</v>
      </c>
      <c r="O115" s="199" t="s">
        <v>298</v>
      </c>
      <c r="P115" s="212" t="s">
        <v>55</v>
      </c>
      <c r="Q115" s="199" t="s">
        <v>560</v>
      </c>
      <c r="R115" s="199" t="s">
        <v>233</v>
      </c>
      <c r="S115" s="201"/>
      <c r="T115" s="201"/>
      <c r="U115" s="200">
        <v>1</v>
      </c>
      <c r="V115" s="298">
        <v>94163.15</v>
      </c>
      <c r="W115" s="298">
        <f t="shared" si="81"/>
        <v>94163.15</v>
      </c>
      <c r="X115" s="202">
        <f t="shared" si="82"/>
        <v>50129.017055785502</v>
      </c>
      <c r="Y115" s="200">
        <f t="shared" si="83"/>
        <v>144292.16705578548</v>
      </c>
      <c r="Z115" s="203">
        <f t="shared" si="75"/>
        <v>223.2</v>
      </c>
      <c r="AA115" s="203">
        <f t="shared" si="70"/>
        <v>85.8</v>
      </c>
      <c r="AB115" s="203">
        <f t="shared" si="76"/>
        <v>16188</v>
      </c>
      <c r="AC115" s="203">
        <f t="shared" si="71"/>
        <v>1296.6719330855017</v>
      </c>
      <c r="AD115" s="203"/>
      <c r="AE115" s="203">
        <f t="shared" si="72"/>
        <v>1845.5977399999999</v>
      </c>
      <c r="AF115" s="203"/>
      <c r="AG115" s="203">
        <f t="shared" si="84"/>
        <v>1365.365675</v>
      </c>
      <c r="AH115" s="203">
        <f t="shared" si="85"/>
        <v>928.26033269999994</v>
      </c>
      <c r="AI115" s="203"/>
      <c r="AJ115" s="204">
        <f t="shared" si="73"/>
        <v>653.40000000000009</v>
      </c>
      <c r="AK115" s="203">
        <f t="shared" si="86"/>
        <v>47.081575000000001</v>
      </c>
      <c r="AL115" s="203"/>
      <c r="AM115" s="204">
        <f t="shared" si="77"/>
        <v>5838.1152999999995</v>
      </c>
      <c r="AN115" s="203">
        <f t="shared" si="78"/>
        <v>21657.5245</v>
      </c>
      <c r="AO115" s="217">
        <f t="shared" si="79"/>
        <v>0</v>
      </c>
      <c r="AP115" s="217">
        <f t="shared" si="80"/>
        <v>2296.6621951219422</v>
      </c>
    </row>
    <row r="116" spans="2:42" ht="13.5" hidden="1" thickBot="1">
      <c r="B116" s="199" t="s">
        <v>883</v>
      </c>
      <c r="C116" s="199" t="s">
        <v>884</v>
      </c>
      <c r="D116" s="199" t="s">
        <v>885</v>
      </c>
      <c r="E116" s="199" t="s">
        <v>886</v>
      </c>
      <c r="F116" s="199" t="s">
        <v>565</v>
      </c>
      <c r="G116" s="200">
        <v>7</v>
      </c>
      <c r="H116" s="197" t="str">
        <f t="shared" si="74"/>
        <v>M</v>
      </c>
      <c r="I116" s="199" t="s">
        <v>559</v>
      </c>
      <c r="J116" s="199" t="s">
        <v>542</v>
      </c>
      <c r="K116" s="200">
        <v>1</v>
      </c>
      <c r="L116" s="200">
        <v>100</v>
      </c>
      <c r="M116" s="200">
        <v>1</v>
      </c>
      <c r="N116" s="199" t="s">
        <v>64</v>
      </c>
      <c r="O116" s="199" t="s">
        <v>302</v>
      </c>
      <c r="P116" s="212" t="s">
        <v>55</v>
      </c>
      <c r="Q116" s="199" t="s">
        <v>560</v>
      </c>
      <c r="R116" s="199" t="s">
        <v>233</v>
      </c>
      <c r="S116" s="201"/>
      <c r="T116" s="201"/>
      <c r="U116" s="200">
        <v>1</v>
      </c>
      <c r="V116" s="298">
        <v>98930.16</v>
      </c>
      <c r="W116" s="298">
        <f t="shared" si="81"/>
        <v>98930.16</v>
      </c>
      <c r="X116" s="202">
        <f t="shared" si="82"/>
        <v>51732.915706365515</v>
      </c>
      <c r="Y116" s="200">
        <f t="shared" si="83"/>
        <v>150663.07570636552</v>
      </c>
      <c r="Z116" s="203">
        <f t="shared" si="75"/>
        <v>223.2</v>
      </c>
      <c r="AA116" s="203">
        <f t="shared" si="70"/>
        <v>85.8</v>
      </c>
      <c r="AB116" s="203">
        <f t="shared" si="76"/>
        <v>16188</v>
      </c>
      <c r="AC116" s="203">
        <f t="shared" si="71"/>
        <v>1296.6719330855017</v>
      </c>
      <c r="AD116" s="203"/>
      <c r="AE116" s="203">
        <f t="shared" si="72"/>
        <v>1939.0311360000001</v>
      </c>
      <c r="AF116" s="203"/>
      <c r="AG116" s="203">
        <f t="shared" si="84"/>
        <v>1434.4873200000002</v>
      </c>
      <c r="AH116" s="203">
        <f t="shared" si="85"/>
        <v>975.2535172800001</v>
      </c>
      <c r="AI116" s="203"/>
      <c r="AJ116" s="204">
        <f t="shared" si="73"/>
        <v>653.40000000000009</v>
      </c>
      <c r="AK116" s="203">
        <f t="shared" si="86"/>
        <v>49.46508</v>
      </c>
      <c r="AL116" s="203"/>
      <c r="AM116" s="204">
        <f t="shared" si="77"/>
        <v>6133.6699200000003</v>
      </c>
      <c r="AN116" s="203">
        <f t="shared" si="78"/>
        <v>22753.936800000003</v>
      </c>
      <c r="AO116" s="217">
        <f t="shared" si="79"/>
        <v>0</v>
      </c>
      <c r="AP116" s="217">
        <f t="shared" si="80"/>
        <v>2412.9307317073108</v>
      </c>
    </row>
    <row r="117" spans="2:42" ht="13.5" hidden="1" thickBot="1">
      <c r="B117" s="199" t="s">
        <v>887</v>
      </c>
      <c r="C117" s="199" t="s">
        <v>888</v>
      </c>
      <c r="D117" s="199" t="s">
        <v>889</v>
      </c>
      <c r="E117" s="199" t="s">
        <v>890</v>
      </c>
      <c r="F117" s="199" t="s">
        <v>565</v>
      </c>
      <c r="G117" s="200">
        <v>4</v>
      </c>
      <c r="H117" s="197" t="str">
        <f t="shared" si="74"/>
        <v>M</v>
      </c>
      <c r="I117" s="199" t="s">
        <v>559</v>
      </c>
      <c r="J117" s="199" t="s">
        <v>542</v>
      </c>
      <c r="K117" s="200">
        <v>1</v>
      </c>
      <c r="L117" s="200">
        <v>100</v>
      </c>
      <c r="M117" s="200">
        <v>1</v>
      </c>
      <c r="N117" s="199" t="s">
        <v>64</v>
      </c>
      <c r="O117" s="199" t="s">
        <v>296</v>
      </c>
      <c r="P117" s="212" t="s">
        <v>55</v>
      </c>
      <c r="Q117" s="199" t="s">
        <v>560</v>
      </c>
      <c r="R117" s="199" t="s">
        <v>233</v>
      </c>
      <c r="S117" s="201"/>
      <c r="T117" s="201"/>
      <c r="U117" s="200">
        <v>1</v>
      </c>
      <c r="V117" s="298">
        <v>91866.48</v>
      </c>
      <c r="W117" s="298">
        <f t="shared" si="81"/>
        <v>91866.48</v>
      </c>
      <c r="X117" s="202">
        <f t="shared" si="82"/>
        <v>49356.284060925507</v>
      </c>
      <c r="Y117" s="200">
        <f t="shared" si="83"/>
        <v>141222.76406092552</v>
      </c>
      <c r="Z117" s="203">
        <f t="shared" si="75"/>
        <v>223.2</v>
      </c>
      <c r="AA117" s="203">
        <f t="shared" si="70"/>
        <v>85.8</v>
      </c>
      <c r="AB117" s="203">
        <f t="shared" si="76"/>
        <v>16188</v>
      </c>
      <c r="AC117" s="203">
        <f t="shared" si="71"/>
        <v>1296.6719330855017</v>
      </c>
      <c r="AD117" s="203"/>
      <c r="AE117" s="203">
        <f t="shared" si="72"/>
        <v>1800.5830079999998</v>
      </c>
      <c r="AF117" s="203"/>
      <c r="AG117" s="203">
        <f t="shared" si="84"/>
        <v>1332.06396</v>
      </c>
      <c r="AH117" s="203">
        <f t="shared" si="85"/>
        <v>905.61975984000003</v>
      </c>
      <c r="AI117" s="203"/>
      <c r="AJ117" s="204">
        <f t="shared" si="73"/>
        <v>653.40000000000009</v>
      </c>
      <c r="AK117" s="203">
        <f t="shared" si="86"/>
        <v>45.933239999999998</v>
      </c>
      <c r="AL117" s="203"/>
      <c r="AM117" s="204">
        <f t="shared" si="77"/>
        <v>5695.7217599999994</v>
      </c>
      <c r="AN117" s="203">
        <f t="shared" si="78"/>
        <v>21129.290400000002</v>
      </c>
      <c r="AO117" s="217">
        <f t="shared" si="79"/>
        <v>0</v>
      </c>
      <c r="AP117" s="217">
        <f t="shared" si="80"/>
        <v>2240.6458536585269</v>
      </c>
    </row>
    <row r="118" spans="2:42" ht="13.5" hidden="1" thickBot="1">
      <c r="B118" s="198" t="s">
        <v>891</v>
      </c>
      <c r="C118" s="198" t="s">
        <v>892</v>
      </c>
      <c r="D118" s="198" t="s">
        <v>893</v>
      </c>
      <c r="E118" s="198" t="s">
        <v>894</v>
      </c>
      <c r="F118" s="198" t="s">
        <v>895</v>
      </c>
      <c r="G118" s="197">
        <v>1</v>
      </c>
      <c r="H118" s="197" t="str">
        <f t="shared" si="74"/>
        <v>M</v>
      </c>
      <c r="I118" s="198" t="s">
        <v>559</v>
      </c>
      <c r="J118" s="198" t="s">
        <v>542</v>
      </c>
      <c r="K118" s="197">
        <v>1</v>
      </c>
      <c r="L118" s="197">
        <v>100</v>
      </c>
      <c r="M118" s="197">
        <v>1</v>
      </c>
      <c r="N118" s="198" t="s">
        <v>64</v>
      </c>
      <c r="O118" s="198" t="s">
        <v>191</v>
      </c>
      <c r="P118" s="212" t="s">
        <v>54</v>
      </c>
      <c r="Q118" s="198" t="s">
        <v>560</v>
      </c>
      <c r="R118" s="198" t="s">
        <v>175</v>
      </c>
      <c r="S118" s="205"/>
      <c r="T118" s="205"/>
      <c r="U118" s="197">
        <v>1</v>
      </c>
      <c r="V118" s="296">
        <f>102704.39</f>
        <v>102704.39</v>
      </c>
      <c r="W118" s="296">
        <f t="shared" si="81"/>
        <v>102704.39</v>
      </c>
      <c r="X118" s="206">
        <f t="shared" si="82"/>
        <v>44105.949617162754</v>
      </c>
      <c r="Y118" s="197">
        <f t="shared" si="83"/>
        <v>146810.33961716277</v>
      </c>
      <c r="Z118" s="207">
        <f>+($Z$4*U118)*0.5</f>
        <v>111.6</v>
      </c>
      <c r="AA118" s="207">
        <f>+($AA$4*U118)*0.5</f>
        <v>42.9</v>
      </c>
      <c r="AB118" s="207">
        <f>+($AB$4*U118)*0.5</f>
        <v>8094</v>
      </c>
      <c r="AC118" s="207">
        <f>+($AC$4*U118)*0.5</f>
        <v>648.33596654275084</v>
      </c>
      <c r="AD118" s="207"/>
      <c r="AE118" s="207">
        <f t="shared" ref="AE118:AE149" si="87">+W118*$AE$4</f>
        <v>2013.006044</v>
      </c>
      <c r="AF118" s="207"/>
      <c r="AG118" s="207">
        <f t="shared" si="84"/>
        <v>1489.213655</v>
      </c>
      <c r="AH118" s="207">
        <f t="shared" si="85"/>
        <v>1012.45987662</v>
      </c>
      <c r="AI118" s="207"/>
      <c r="AJ118" s="204">
        <f t="shared" ref="AJ118:AJ149" si="88">SUM(IF(V118&gt;65999,((66000*$AJ$4)*U118),(IF(V118&lt;66000,($AJ$4*(W118))))))</f>
        <v>653.40000000000009</v>
      </c>
      <c r="AK118" s="207">
        <f t="shared" si="86"/>
        <v>51.352195000000002</v>
      </c>
      <c r="AL118" s="207"/>
      <c r="AM118" s="204">
        <f t="shared" si="77"/>
        <v>6367.6721799999996</v>
      </c>
      <c r="AN118" s="207">
        <f t="shared" si="78"/>
        <v>23622.009700000002</v>
      </c>
      <c r="AO118" s="217">
        <f t="shared" si="79"/>
        <v>0</v>
      </c>
      <c r="AP118" s="217">
        <f t="shared" si="80"/>
        <v>2504.9851219512057</v>
      </c>
    </row>
    <row r="119" spans="2:42" ht="13.5" hidden="1" thickBot="1">
      <c r="B119" s="199" t="s">
        <v>896</v>
      </c>
      <c r="C119" s="199" t="s">
        <v>897</v>
      </c>
      <c r="D119" s="199" t="s">
        <v>898</v>
      </c>
      <c r="E119" s="199" t="s">
        <v>899</v>
      </c>
      <c r="F119" s="199" t="s">
        <v>900</v>
      </c>
      <c r="G119" s="200">
        <v>11</v>
      </c>
      <c r="H119" s="197" t="str">
        <f t="shared" si="74"/>
        <v>M</v>
      </c>
      <c r="I119" s="199" t="s">
        <v>559</v>
      </c>
      <c r="J119" s="199" t="s">
        <v>542</v>
      </c>
      <c r="K119" s="200">
        <v>1</v>
      </c>
      <c r="L119" s="200">
        <v>100</v>
      </c>
      <c r="M119" s="200">
        <v>1</v>
      </c>
      <c r="N119" s="199" t="s">
        <v>64</v>
      </c>
      <c r="O119" s="199" t="s">
        <v>374</v>
      </c>
      <c r="P119" s="212" t="s">
        <v>60</v>
      </c>
      <c r="Q119" s="199" t="s">
        <v>560</v>
      </c>
      <c r="R119" s="199" t="s">
        <v>380</v>
      </c>
      <c r="S119" s="201"/>
      <c r="T119" s="201"/>
      <c r="U119" s="200">
        <v>1</v>
      </c>
      <c r="V119" s="298">
        <v>104772.96</v>
      </c>
      <c r="W119" s="298">
        <f t="shared" si="81"/>
        <v>104772.96</v>
      </c>
      <c r="X119" s="202">
        <f t="shared" si="82"/>
        <v>53698.772508765513</v>
      </c>
      <c r="Y119" s="200">
        <f t="shared" si="83"/>
        <v>158471.73250876553</v>
      </c>
      <c r="Z119" s="203">
        <f>+$Z$4*U119</f>
        <v>223.2</v>
      </c>
      <c r="AA119" s="203">
        <f>+$AA$4*U119</f>
        <v>85.8</v>
      </c>
      <c r="AB119" s="203">
        <f>+$AB$4*U119</f>
        <v>16188</v>
      </c>
      <c r="AC119" s="203">
        <f t="shared" ref="AC119:AC150" si="89">+$AC$4*U119</f>
        <v>1296.6719330855017</v>
      </c>
      <c r="AD119" s="203"/>
      <c r="AE119" s="203">
        <f t="shared" si="87"/>
        <v>2053.5500160000001</v>
      </c>
      <c r="AF119" s="203"/>
      <c r="AG119" s="203">
        <f t="shared" si="84"/>
        <v>1519.2079200000001</v>
      </c>
      <c r="AH119" s="203">
        <f t="shared" si="85"/>
        <v>1032.85183968</v>
      </c>
      <c r="AI119" s="203"/>
      <c r="AJ119" s="204">
        <f t="shared" si="88"/>
        <v>653.40000000000009</v>
      </c>
      <c r="AK119" s="203">
        <f t="shared" si="86"/>
        <v>52.386480000000006</v>
      </c>
      <c r="AL119" s="203"/>
      <c r="AM119" s="204">
        <f t="shared" si="77"/>
        <v>6495.9235200000003</v>
      </c>
      <c r="AN119" s="203">
        <f t="shared" si="78"/>
        <v>24097.780800000004</v>
      </c>
      <c r="AO119" s="217">
        <f t="shared" si="79"/>
        <v>0</v>
      </c>
      <c r="AP119" s="217">
        <f t="shared" si="80"/>
        <v>2555.4380487804738</v>
      </c>
    </row>
    <row r="120" spans="2:42" ht="13.5" hidden="1" thickBot="1">
      <c r="B120" s="199" t="s">
        <v>901</v>
      </c>
      <c r="C120" s="199" t="s">
        <v>408</v>
      </c>
      <c r="D120" s="199" t="s">
        <v>902</v>
      </c>
      <c r="E120" s="199" t="s">
        <v>903</v>
      </c>
      <c r="F120" s="199" t="s">
        <v>829</v>
      </c>
      <c r="G120" s="200">
        <v>11</v>
      </c>
      <c r="H120" s="197" t="str">
        <f t="shared" si="74"/>
        <v>M</v>
      </c>
      <c r="I120" s="199" t="s">
        <v>559</v>
      </c>
      <c r="J120" s="199" t="s">
        <v>542</v>
      </c>
      <c r="K120" s="200">
        <v>1</v>
      </c>
      <c r="L120" s="200">
        <v>100</v>
      </c>
      <c r="M120" s="200">
        <v>1</v>
      </c>
      <c r="N120" s="199" t="s">
        <v>64</v>
      </c>
      <c r="O120" s="199" t="s">
        <v>407</v>
      </c>
      <c r="P120" s="212" t="s">
        <v>58</v>
      </c>
      <c r="Q120" s="199" t="s">
        <v>560</v>
      </c>
      <c r="R120" s="199" t="s">
        <v>409</v>
      </c>
      <c r="S120" s="201"/>
      <c r="T120" s="201"/>
      <c r="U120" s="200">
        <v>1</v>
      </c>
      <c r="V120" s="298">
        <v>210524.63</v>
      </c>
      <c r="W120" s="298">
        <f t="shared" si="81"/>
        <v>210524.63</v>
      </c>
      <c r="X120" s="202">
        <f t="shared" si="82"/>
        <v>84467.040833625506</v>
      </c>
      <c r="Y120" s="200">
        <f t="shared" si="83"/>
        <v>294991.67083362548</v>
      </c>
      <c r="Z120" s="203">
        <f>+$Z$4*U120</f>
        <v>223.2</v>
      </c>
      <c r="AA120" s="203">
        <f>+$AA$4*U120</f>
        <v>85.8</v>
      </c>
      <c r="AB120" s="203">
        <f>+$AB$4*U120</f>
        <v>16188</v>
      </c>
      <c r="AC120" s="203">
        <f t="shared" si="89"/>
        <v>1296.6719330855017</v>
      </c>
      <c r="AD120" s="203"/>
      <c r="AE120" s="203">
        <f t="shared" si="87"/>
        <v>4126.2827479999996</v>
      </c>
      <c r="AF120" s="203"/>
      <c r="AG120" s="203">
        <f t="shared" si="84"/>
        <v>3052.6071350000002</v>
      </c>
      <c r="AH120" s="203">
        <f t="shared" si="85"/>
        <v>2075.3518025400003</v>
      </c>
      <c r="AI120" s="203"/>
      <c r="AJ120" s="204">
        <f t="shared" si="88"/>
        <v>653.40000000000009</v>
      </c>
      <c r="AK120" s="203">
        <f t="shared" si="86"/>
        <v>105.262315</v>
      </c>
      <c r="AL120" s="203"/>
      <c r="AM120" s="204">
        <f t="shared" si="77"/>
        <v>8239.7999999999993</v>
      </c>
      <c r="AN120" s="203">
        <f t="shared" si="78"/>
        <v>48420.664900000003</v>
      </c>
      <c r="AO120" s="217">
        <f t="shared" si="79"/>
        <v>0</v>
      </c>
      <c r="AP120" s="217">
        <f t="shared" si="80"/>
        <v>5134.7470731706999</v>
      </c>
    </row>
    <row r="121" spans="2:42" ht="13.5" thickBot="1">
      <c r="B121" s="199" t="s">
        <v>481</v>
      </c>
      <c r="C121" s="199" t="s">
        <v>482</v>
      </c>
      <c r="D121" s="199" t="s">
        <v>904</v>
      </c>
      <c r="E121" s="199" t="s">
        <v>905</v>
      </c>
      <c r="F121" s="199" t="s">
        <v>565</v>
      </c>
      <c r="G121" s="200">
        <v>4</v>
      </c>
      <c r="H121" s="197" t="str">
        <f t="shared" si="74"/>
        <v>M</v>
      </c>
      <c r="I121" s="199" t="s">
        <v>559</v>
      </c>
      <c r="J121" s="199" t="s">
        <v>542</v>
      </c>
      <c r="K121" s="200">
        <v>1</v>
      </c>
      <c r="L121" s="200">
        <v>100</v>
      </c>
      <c r="M121" s="200">
        <v>1</v>
      </c>
      <c r="N121" s="199" t="s">
        <v>64</v>
      </c>
      <c r="O121" s="199" t="s">
        <v>333</v>
      </c>
      <c r="P121" s="212" t="s">
        <v>56</v>
      </c>
      <c r="Q121" s="199" t="s">
        <v>560</v>
      </c>
      <c r="R121" s="199" t="s">
        <v>323</v>
      </c>
      <c r="S121" s="201"/>
      <c r="T121" s="201"/>
      <c r="U121" s="200">
        <v>1</v>
      </c>
      <c r="V121" s="298">
        <v>91866.48</v>
      </c>
      <c r="W121" s="298">
        <f t="shared" si="81"/>
        <v>91866.48</v>
      </c>
      <c r="X121" s="202">
        <f t="shared" si="82"/>
        <v>49356.284060925507</v>
      </c>
      <c r="Y121" s="200">
        <f t="shared" si="83"/>
        <v>141222.76406092552</v>
      </c>
      <c r="Z121" s="203">
        <f>+$Z$4*U121</f>
        <v>223.2</v>
      </c>
      <c r="AA121" s="203">
        <f>+$AA$4*U121</f>
        <v>85.8</v>
      </c>
      <c r="AB121" s="203">
        <f>+$AB$4*U121</f>
        <v>16188</v>
      </c>
      <c r="AC121" s="203">
        <f t="shared" si="89"/>
        <v>1296.6719330855017</v>
      </c>
      <c r="AD121" s="203"/>
      <c r="AE121" s="203">
        <f t="shared" si="87"/>
        <v>1800.5830079999998</v>
      </c>
      <c r="AF121" s="203"/>
      <c r="AG121" s="203">
        <f t="shared" si="84"/>
        <v>1332.06396</v>
      </c>
      <c r="AH121" s="203">
        <f t="shared" si="85"/>
        <v>905.61975984000003</v>
      </c>
      <c r="AI121" s="203"/>
      <c r="AJ121" s="204">
        <f t="shared" si="88"/>
        <v>653.40000000000009</v>
      </c>
      <c r="AK121" s="203">
        <f t="shared" si="86"/>
        <v>45.933239999999998</v>
      </c>
      <c r="AL121" s="203"/>
      <c r="AM121" s="204">
        <f t="shared" si="77"/>
        <v>5695.7217599999994</v>
      </c>
      <c r="AN121" s="203">
        <f t="shared" si="78"/>
        <v>21129.290400000002</v>
      </c>
      <c r="AO121" s="217">
        <f t="shared" si="79"/>
        <v>0</v>
      </c>
      <c r="AP121" s="217">
        <f t="shared" si="80"/>
        <v>2240.6458536585269</v>
      </c>
    </row>
    <row r="122" spans="2:42" ht="13.5" hidden="1" thickBot="1">
      <c r="B122" s="199" t="s">
        <v>906</v>
      </c>
      <c r="C122" s="199" t="s">
        <v>907</v>
      </c>
      <c r="D122" s="199" t="s">
        <v>908</v>
      </c>
      <c r="E122" s="199" t="s">
        <v>909</v>
      </c>
      <c r="F122" s="199" t="s">
        <v>558</v>
      </c>
      <c r="G122" s="200">
        <v>6</v>
      </c>
      <c r="H122" s="197" t="str">
        <f t="shared" si="74"/>
        <v>M</v>
      </c>
      <c r="I122" s="199" t="s">
        <v>559</v>
      </c>
      <c r="J122" s="199" t="s">
        <v>542</v>
      </c>
      <c r="K122" s="200">
        <v>1</v>
      </c>
      <c r="L122" s="200">
        <v>100</v>
      </c>
      <c r="M122" s="200">
        <v>1</v>
      </c>
      <c r="N122" s="199" t="s">
        <v>64</v>
      </c>
      <c r="O122" s="199" t="s">
        <v>358</v>
      </c>
      <c r="P122" s="212" t="s">
        <v>57</v>
      </c>
      <c r="Q122" s="199" t="s">
        <v>560</v>
      </c>
      <c r="R122" s="199" t="s">
        <v>347</v>
      </c>
      <c r="S122" s="201"/>
      <c r="T122" s="201"/>
      <c r="U122" s="200">
        <v>1</v>
      </c>
      <c r="V122" s="298">
        <v>124351.96</v>
      </c>
      <c r="W122" s="298">
        <f t="shared" si="81"/>
        <v>124351.96</v>
      </c>
      <c r="X122" s="202">
        <f t="shared" si="82"/>
        <v>60286.283690765507</v>
      </c>
      <c r="Y122" s="200">
        <f t="shared" si="83"/>
        <v>184638.24369076552</v>
      </c>
      <c r="Z122" s="203">
        <f>+$Z$4*U122</f>
        <v>223.2</v>
      </c>
      <c r="AA122" s="203">
        <f>+$AA$4*U122</f>
        <v>85.8</v>
      </c>
      <c r="AB122" s="203">
        <f>+$AB$4*U122</f>
        <v>16188</v>
      </c>
      <c r="AC122" s="203">
        <f t="shared" si="89"/>
        <v>1296.6719330855017</v>
      </c>
      <c r="AD122" s="203"/>
      <c r="AE122" s="203">
        <f t="shared" si="87"/>
        <v>2437.2984160000001</v>
      </c>
      <c r="AF122" s="203"/>
      <c r="AG122" s="203">
        <f t="shared" si="84"/>
        <v>1803.1034200000001</v>
      </c>
      <c r="AH122" s="203">
        <f t="shared" si="85"/>
        <v>1225.8616216800001</v>
      </c>
      <c r="AI122" s="203"/>
      <c r="AJ122" s="204">
        <f t="shared" si="88"/>
        <v>653.40000000000009</v>
      </c>
      <c r="AK122" s="203">
        <f t="shared" si="86"/>
        <v>62.175980000000003</v>
      </c>
      <c r="AL122" s="203"/>
      <c r="AM122" s="204">
        <f t="shared" si="77"/>
        <v>7709.8215200000004</v>
      </c>
      <c r="AN122" s="203">
        <f t="shared" si="78"/>
        <v>28600.950800000002</v>
      </c>
      <c r="AO122" s="217">
        <f t="shared" si="79"/>
        <v>0</v>
      </c>
      <c r="AP122" s="217">
        <f t="shared" si="80"/>
        <v>3032.9746341463324</v>
      </c>
    </row>
    <row r="123" spans="2:42" ht="13.5" thickBot="1">
      <c r="B123" s="199" t="s">
        <v>483</v>
      </c>
      <c r="C123" s="199" t="s">
        <v>484</v>
      </c>
      <c r="D123" s="199" t="s">
        <v>910</v>
      </c>
      <c r="E123" s="199" t="s">
        <v>911</v>
      </c>
      <c r="F123" s="199" t="s">
        <v>851</v>
      </c>
      <c r="G123" s="200">
        <v>9</v>
      </c>
      <c r="H123" s="197" t="str">
        <f t="shared" si="74"/>
        <v>M</v>
      </c>
      <c r="I123" s="199" t="s">
        <v>559</v>
      </c>
      <c r="J123" s="199" t="s">
        <v>542</v>
      </c>
      <c r="K123" s="200">
        <v>1</v>
      </c>
      <c r="L123" s="200">
        <v>100</v>
      </c>
      <c r="M123" s="200">
        <v>1</v>
      </c>
      <c r="N123" s="199" t="s">
        <v>64</v>
      </c>
      <c r="O123" s="199" t="s">
        <v>324</v>
      </c>
      <c r="P123" s="212" t="s">
        <v>56</v>
      </c>
      <c r="Q123" s="199" t="s">
        <v>560</v>
      </c>
      <c r="R123" s="199" t="s">
        <v>323</v>
      </c>
      <c r="S123" s="201"/>
      <c r="T123" s="201"/>
      <c r="U123" s="200">
        <v>1</v>
      </c>
      <c r="V123" s="298">
        <v>142169.29</v>
      </c>
      <c r="W123" s="298">
        <f t="shared" si="81"/>
        <v>142169.29</v>
      </c>
      <c r="X123" s="202">
        <f t="shared" si="82"/>
        <v>65706.370927905504</v>
      </c>
      <c r="Y123" s="200">
        <f t="shared" si="83"/>
        <v>207875.66092790553</v>
      </c>
      <c r="Z123" s="203">
        <f>+$Z$4*U123</f>
        <v>223.2</v>
      </c>
      <c r="AA123" s="203">
        <f>+$AA$4*U123</f>
        <v>85.8</v>
      </c>
      <c r="AB123" s="203">
        <f>+$AB$4*U123</f>
        <v>16188</v>
      </c>
      <c r="AC123" s="203">
        <f t="shared" si="89"/>
        <v>1296.6719330855017</v>
      </c>
      <c r="AD123" s="203"/>
      <c r="AE123" s="203">
        <f t="shared" si="87"/>
        <v>2786.5180840000003</v>
      </c>
      <c r="AF123" s="203"/>
      <c r="AG123" s="203">
        <f t="shared" si="84"/>
        <v>2061.4547050000001</v>
      </c>
      <c r="AH123" s="203">
        <f t="shared" si="85"/>
        <v>1401.5048608200002</v>
      </c>
      <c r="AI123" s="203"/>
      <c r="AJ123" s="204">
        <f t="shared" si="88"/>
        <v>653.40000000000009</v>
      </c>
      <c r="AK123" s="203">
        <f t="shared" si="86"/>
        <v>71.084645000000009</v>
      </c>
      <c r="AL123" s="203"/>
      <c r="AM123" s="204">
        <f t="shared" si="77"/>
        <v>8239.7999999999993</v>
      </c>
      <c r="AN123" s="203">
        <f t="shared" si="78"/>
        <v>32698.936700000002</v>
      </c>
      <c r="AO123" s="217">
        <f t="shared" si="79"/>
        <v>0</v>
      </c>
      <c r="AP123" s="217">
        <f t="shared" si="80"/>
        <v>3467.5436585365678</v>
      </c>
    </row>
    <row r="124" spans="2:42" ht="13.5" hidden="1" thickBot="1">
      <c r="B124" s="257" t="s">
        <v>494</v>
      </c>
      <c r="C124" s="257" t="s">
        <v>495</v>
      </c>
      <c r="D124" s="259"/>
      <c r="E124" s="259"/>
      <c r="F124" s="259"/>
      <c r="G124" s="259"/>
      <c r="H124" s="197" t="str">
        <f t="shared" si="74"/>
        <v>M</v>
      </c>
      <c r="I124" s="257" t="s">
        <v>559</v>
      </c>
      <c r="J124" s="257" t="s">
        <v>542</v>
      </c>
      <c r="K124" s="258">
        <v>0</v>
      </c>
      <c r="L124" s="259"/>
      <c r="M124" s="259"/>
      <c r="N124" s="257" t="s">
        <v>64</v>
      </c>
      <c r="O124" s="257" t="s">
        <v>912</v>
      </c>
      <c r="P124" s="212" t="s">
        <v>59</v>
      </c>
      <c r="Q124" s="257" t="s">
        <v>560</v>
      </c>
      <c r="R124" s="257" t="s">
        <v>323</v>
      </c>
      <c r="S124" s="259"/>
      <c r="T124" s="259"/>
      <c r="U124" s="258">
        <v>0</v>
      </c>
      <c r="V124" s="258"/>
      <c r="W124" s="258">
        <f t="shared" si="81"/>
        <v>0</v>
      </c>
      <c r="X124" s="260">
        <f t="shared" si="82"/>
        <v>0</v>
      </c>
      <c r="Y124" s="258">
        <f t="shared" si="83"/>
        <v>0</v>
      </c>
      <c r="Z124" s="261"/>
      <c r="AA124" s="261"/>
      <c r="AB124" s="261"/>
      <c r="AC124" s="261">
        <f t="shared" si="89"/>
        <v>0</v>
      </c>
      <c r="AD124" s="261"/>
      <c r="AE124" s="261">
        <f t="shared" si="87"/>
        <v>0</v>
      </c>
      <c r="AF124" s="261"/>
      <c r="AG124" s="261">
        <f t="shared" si="84"/>
        <v>0</v>
      </c>
      <c r="AH124" s="261">
        <f t="shared" si="85"/>
        <v>0</v>
      </c>
      <c r="AI124" s="261"/>
      <c r="AJ124" s="262">
        <f t="shared" si="88"/>
        <v>0</v>
      </c>
      <c r="AK124" s="261">
        <f t="shared" si="86"/>
        <v>0</v>
      </c>
      <c r="AL124" s="261"/>
      <c r="AM124" s="262">
        <f t="shared" si="77"/>
        <v>0</v>
      </c>
      <c r="AN124" s="261">
        <f t="shared" si="78"/>
        <v>0</v>
      </c>
      <c r="AO124" s="217">
        <f t="shared" si="79"/>
        <v>0</v>
      </c>
      <c r="AP124" s="217">
        <f t="shared" si="80"/>
        <v>0</v>
      </c>
    </row>
    <row r="125" spans="2:42" ht="13.5" hidden="1" thickBot="1">
      <c r="B125" s="212" t="s">
        <v>913</v>
      </c>
      <c r="C125" s="212" t="s">
        <v>914</v>
      </c>
      <c r="D125" s="212" t="s">
        <v>915</v>
      </c>
      <c r="E125" s="212" t="s">
        <v>916</v>
      </c>
      <c r="F125" s="212" t="s">
        <v>895</v>
      </c>
      <c r="G125" s="211">
        <v>10</v>
      </c>
      <c r="H125" s="211" t="str">
        <f t="shared" ref="H125:H156" si="90">LEFT(I125,1)</f>
        <v>M</v>
      </c>
      <c r="I125" s="212" t="s">
        <v>559</v>
      </c>
      <c r="J125" s="212" t="s">
        <v>542</v>
      </c>
      <c r="K125" s="211">
        <v>1</v>
      </c>
      <c r="L125" s="211">
        <v>100</v>
      </c>
      <c r="M125" s="211">
        <v>1</v>
      </c>
      <c r="N125" s="212" t="s">
        <v>64</v>
      </c>
      <c r="O125" s="212" t="s">
        <v>220</v>
      </c>
      <c r="P125" s="212" t="s">
        <v>54</v>
      </c>
      <c r="Q125" s="212" t="s">
        <v>560</v>
      </c>
      <c r="R125" s="212" t="s">
        <v>175</v>
      </c>
      <c r="S125" s="269"/>
      <c r="T125" s="269"/>
      <c r="U125" s="211">
        <v>1</v>
      </c>
      <c r="V125" s="211">
        <v>128263.71</v>
      </c>
      <c r="W125" s="211">
        <f t="shared" si="81"/>
        <v>128263.71</v>
      </c>
      <c r="X125" s="270">
        <f t="shared" si="82"/>
        <v>61602.423272265507</v>
      </c>
      <c r="Y125" s="211">
        <f t="shared" si="83"/>
        <v>189866.13327226552</v>
      </c>
      <c r="Z125" s="271">
        <f t="shared" ref="Z125:Z132" si="91">+$Z$4*U125</f>
        <v>223.2</v>
      </c>
      <c r="AA125" s="271">
        <f t="shared" ref="AA125:AA132" si="92">+$AA$4*U125</f>
        <v>85.8</v>
      </c>
      <c r="AB125" s="271">
        <f t="shared" ref="AB125:AB132" si="93">+$AB$4*U125</f>
        <v>16188</v>
      </c>
      <c r="AC125" s="271">
        <f t="shared" si="89"/>
        <v>1296.6719330855017</v>
      </c>
      <c r="AD125" s="271"/>
      <c r="AE125" s="271">
        <f t="shared" si="87"/>
        <v>2513.9687159999999</v>
      </c>
      <c r="AF125" s="271"/>
      <c r="AG125" s="271">
        <f t="shared" si="84"/>
        <v>1859.8237950000002</v>
      </c>
      <c r="AH125" s="271">
        <f t="shared" si="85"/>
        <v>1264.4236531800002</v>
      </c>
      <c r="AI125" s="271"/>
      <c r="AJ125" s="216">
        <f t="shared" si="88"/>
        <v>653.40000000000009</v>
      </c>
      <c r="AK125" s="271">
        <f t="shared" si="86"/>
        <v>64.131855000000002</v>
      </c>
      <c r="AL125" s="271"/>
      <c r="AM125" s="216">
        <f t="shared" si="77"/>
        <v>7952.3500200000008</v>
      </c>
      <c r="AN125" s="271">
        <f t="shared" si="78"/>
        <v>29500.653300000002</v>
      </c>
      <c r="AO125" s="217">
        <f t="shared" si="79"/>
        <v>0</v>
      </c>
      <c r="AP125" s="217">
        <f t="shared" si="80"/>
        <v>3128.3831707317004</v>
      </c>
    </row>
    <row r="126" spans="2:42" ht="13.5" thickBot="1">
      <c r="B126" s="199" t="s">
        <v>485</v>
      </c>
      <c r="C126" s="199" t="s">
        <v>486</v>
      </c>
      <c r="D126" s="199" t="s">
        <v>917</v>
      </c>
      <c r="E126" s="199" t="s">
        <v>918</v>
      </c>
      <c r="F126" s="199" t="s">
        <v>895</v>
      </c>
      <c r="G126" s="200">
        <v>12</v>
      </c>
      <c r="H126" s="197" t="str">
        <f t="shared" si="90"/>
        <v>M</v>
      </c>
      <c r="I126" s="199" t="s">
        <v>559</v>
      </c>
      <c r="J126" s="199" t="s">
        <v>542</v>
      </c>
      <c r="K126" s="200">
        <v>1</v>
      </c>
      <c r="L126" s="200">
        <v>100</v>
      </c>
      <c r="M126" s="200">
        <v>1</v>
      </c>
      <c r="N126" s="199" t="s">
        <v>64</v>
      </c>
      <c r="O126" s="199" t="s">
        <v>328</v>
      </c>
      <c r="P126" s="212" t="s">
        <v>56</v>
      </c>
      <c r="Q126" s="199" t="s">
        <v>560</v>
      </c>
      <c r="R126" s="199" t="s">
        <v>323</v>
      </c>
      <c r="S126" s="201"/>
      <c r="T126" s="201"/>
      <c r="U126" s="200">
        <v>1</v>
      </c>
      <c r="V126" s="200">
        <v>134757.07</v>
      </c>
      <c r="W126" s="200">
        <f t="shared" si="81"/>
        <v>134757.07</v>
      </c>
      <c r="X126" s="202">
        <f t="shared" si="82"/>
        <v>63672.027851145496</v>
      </c>
      <c r="Y126" s="200">
        <f t="shared" si="83"/>
        <v>198429.09785114549</v>
      </c>
      <c r="Z126" s="203">
        <f t="shared" si="91"/>
        <v>223.2</v>
      </c>
      <c r="AA126" s="203">
        <f t="shared" si="92"/>
        <v>85.8</v>
      </c>
      <c r="AB126" s="203">
        <f t="shared" si="93"/>
        <v>16188</v>
      </c>
      <c r="AC126" s="203">
        <f t="shared" si="89"/>
        <v>1296.6719330855017</v>
      </c>
      <c r="AD126" s="203"/>
      <c r="AE126" s="203">
        <f t="shared" si="87"/>
        <v>2641.2385720000002</v>
      </c>
      <c r="AF126" s="203"/>
      <c r="AG126" s="203">
        <f t="shared" si="84"/>
        <v>1953.9775150000003</v>
      </c>
      <c r="AH126" s="203">
        <f t="shared" si="85"/>
        <v>1328.4351960600002</v>
      </c>
      <c r="AI126" s="203"/>
      <c r="AJ126" s="204">
        <f t="shared" si="88"/>
        <v>653.40000000000009</v>
      </c>
      <c r="AK126" s="203">
        <f t="shared" si="86"/>
        <v>67.378534999999999</v>
      </c>
      <c r="AL126" s="203"/>
      <c r="AM126" s="204">
        <f t="shared" si="77"/>
        <v>8239.7999999999993</v>
      </c>
      <c r="AN126" s="203">
        <f t="shared" si="78"/>
        <v>30994.126100000001</v>
      </c>
      <c r="AO126" s="217">
        <f t="shared" si="79"/>
        <v>0</v>
      </c>
      <c r="AP126" s="217">
        <f t="shared" si="80"/>
        <v>3286.7578048780269</v>
      </c>
    </row>
    <row r="127" spans="2:42" ht="13.5" thickBot="1">
      <c r="B127" s="199" t="s">
        <v>487</v>
      </c>
      <c r="C127" s="199" t="s">
        <v>488</v>
      </c>
      <c r="D127" s="199" t="s">
        <v>919</v>
      </c>
      <c r="E127" s="199" t="s">
        <v>920</v>
      </c>
      <c r="F127" s="199" t="s">
        <v>829</v>
      </c>
      <c r="G127" s="200">
        <v>9</v>
      </c>
      <c r="H127" s="197" t="str">
        <f t="shared" si="90"/>
        <v>M</v>
      </c>
      <c r="I127" s="199" t="s">
        <v>559</v>
      </c>
      <c r="J127" s="199" t="s">
        <v>542</v>
      </c>
      <c r="K127" s="200">
        <v>1</v>
      </c>
      <c r="L127" s="200">
        <v>100</v>
      </c>
      <c r="M127" s="200">
        <v>1</v>
      </c>
      <c r="N127" s="199" t="s">
        <v>64</v>
      </c>
      <c r="O127" s="199" t="s">
        <v>321</v>
      </c>
      <c r="P127" s="212" t="s">
        <v>56</v>
      </c>
      <c r="Q127" s="199" t="s">
        <v>560</v>
      </c>
      <c r="R127" s="199" t="s">
        <v>323</v>
      </c>
      <c r="S127" s="201"/>
      <c r="T127" s="201"/>
      <c r="U127" s="200">
        <v>1</v>
      </c>
      <c r="V127" s="200">
        <v>200380.37</v>
      </c>
      <c r="W127" s="200">
        <f t="shared" si="81"/>
        <v>200380.37</v>
      </c>
      <c r="X127" s="202">
        <f t="shared" si="82"/>
        <v>81682.867522545508</v>
      </c>
      <c r="Y127" s="200">
        <f t="shared" si="83"/>
        <v>282063.2375225455</v>
      </c>
      <c r="Z127" s="203">
        <f t="shared" si="91"/>
        <v>223.2</v>
      </c>
      <c r="AA127" s="203">
        <f t="shared" si="92"/>
        <v>85.8</v>
      </c>
      <c r="AB127" s="203">
        <f t="shared" si="93"/>
        <v>16188</v>
      </c>
      <c r="AC127" s="203">
        <f t="shared" si="89"/>
        <v>1296.6719330855017</v>
      </c>
      <c r="AD127" s="203"/>
      <c r="AE127" s="203">
        <f t="shared" si="87"/>
        <v>3927.4552519999997</v>
      </c>
      <c r="AF127" s="203"/>
      <c r="AG127" s="203">
        <f t="shared" si="84"/>
        <v>2905.5153650000002</v>
      </c>
      <c r="AH127" s="203">
        <f t="shared" si="85"/>
        <v>1975.34968746</v>
      </c>
      <c r="AI127" s="203"/>
      <c r="AJ127" s="204">
        <f t="shared" si="88"/>
        <v>653.40000000000009</v>
      </c>
      <c r="AK127" s="203">
        <f t="shared" si="86"/>
        <v>100.190185</v>
      </c>
      <c r="AL127" s="203"/>
      <c r="AM127" s="204">
        <f t="shared" si="77"/>
        <v>8239.7999999999993</v>
      </c>
      <c r="AN127" s="203">
        <f t="shared" si="78"/>
        <v>46087.485099999998</v>
      </c>
      <c r="AO127" s="217">
        <f t="shared" si="79"/>
        <v>0</v>
      </c>
      <c r="AP127" s="217">
        <f t="shared" si="80"/>
        <v>4887.3260975609592</v>
      </c>
    </row>
    <row r="128" spans="2:42" ht="13.5" thickBot="1">
      <c r="B128" s="199" t="s">
        <v>489</v>
      </c>
      <c r="C128" s="199" t="s">
        <v>490</v>
      </c>
      <c r="D128" s="199" t="s">
        <v>921</v>
      </c>
      <c r="E128" s="199" t="s">
        <v>922</v>
      </c>
      <c r="F128" s="199" t="s">
        <v>586</v>
      </c>
      <c r="G128" s="200">
        <v>10</v>
      </c>
      <c r="H128" s="197" t="str">
        <f t="shared" si="90"/>
        <v>M</v>
      </c>
      <c r="I128" s="199" t="s">
        <v>559</v>
      </c>
      <c r="J128" s="199" t="s">
        <v>542</v>
      </c>
      <c r="K128" s="200">
        <v>1</v>
      </c>
      <c r="L128" s="200">
        <v>100</v>
      </c>
      <c r="M128" s="200">
        <v>1</v>
      </c>
      <c r="N128" s="199" t="s">
        <v>64</v>
      </c>
      <c r="O128" s="199" t="s">
        <v>328</v>
      </c>
      <c r="P128" s="212" t="s">
        <v>56</v>
      </c>
      <c r="Q128" s="199" t="s">
        <v>560</v>
      </c>
      <c r="R128" s="199" t="s">
        <v>323</v>
      </c>
      <c r="S128" s="201"/>
      <c r="T128" s="201"/>
      <c r="U128" s="200">
        <v>1</v>
      </c>
      <c r="V128" s="200">
        <v>117770.98</v>
      </c>
      <c r="W128" s="200">
        <f t="shared" si="81"/>
        <v>117770.98</v>
      </c>
      <c r="X128" s="202">
        <f t="shared" si="82"/>
        <v>58072.060321925499</v>
      </c>
      <c r="Y128" s="200">
        <f t="shared" si="83"/>
        <v>175843.04032192548</v>
      </c>
      <c r="Z128" s="203">
        <f t="shared" si="91"/>
        <v>223.2</v>
      </c>
      <c r="AA128" s="203">
        <f t="shared" si="92"/>
        <v>85.8</v>
      </c>
      <c r="AB128" s="203">
        <f t="shared" si="93"/>
        <v>16188</v>
      </c>
      <c r="AC128" s="203">
        <f t="shared" si="89"/>
        <v>1296.6719330855017</v>
      </c>
      <c r="AD128" s="203"/>
      <c r="AE128" s="203">
        <f t="shared" si="87"/>
        <v>2308.3112079999996</v>
      </c>
      <c r="AF128" s="203"/>
      <c r="AG128" s="203">
        <f t="shared" si="84"/>
        <v>1707.67921</v>
      </c>
      <c r="AH128" s="203">
        <f t="shared" si="85"/>
        <v>1160.98632084</v>
      </c>
      <c r="AI128" s="203"/>
      <c r="AJ128" s="204">
        <f t="shared" si="88"/>
        <v>653.40000000000009</v>
      </c>
      <c r="AK128" s="203">
        <f t="shared" si="86"/>
        <v>58.885489999999997</v>
      </c>
      <c r="AL128" s="203"/>
      <c r="AM128" s="204">
        <f t="shared" si="77"/>
        <v>7301.8007600000001</v>
      </c>
      <c r="AN128" s="203">
        <f t="shared" si="78"/>
        <v>27087.325400000002</v>
      </c>
      <c r="AO128" s="217">
        <f t="shared" si="79"/>
        <v>0</v>
      </c>
      <c r="AP128" s="217">
        <f t="shared" si="80"/>
        <v>2872.4629268292629</v>
      </c>
    </row>
    <row r="129" spans="2:42" ht="13.5" thickBot="1">
      <c r="B129" s="199" t="s">
        <v>491</v>
      </c>
      <c r="C129" s="199" t="s">
        <v>492</v>
      </c>
      <c r="D129" s="199" t="s">
        <v>923</v>
      </c>
      <c r="E129" s="199" t="s">
        <v>924</v>
      </c>
      <c r="F129" s="199" t="s">
        <v>895</v>
      </c>
      <c r="G129" s="200">
        <v>12</v>
      </c>
      <c r="H129" s="197" t="str">
        <f t="shared" si="90"/>
        <v>M</v>
      </c>
      <c r="I129" s="199" t="s">
        <v>559</v>
      </c>
      <c r="J129" s="199" t="s">
        <v>542</v>
      </c>
      <c r="K129" s="200">
        <v>1</v>
      </c>
      <c r="L129" s="200">
        <v>100</v>
      </c>
      <c r="M129" s="200">
        <v>1</v>
      </c>
      <c r="N129" s="199" t="s">
        <v>64</v>
      </c>
      <c r="O129" s="199" t="s">
        <v>333</v>
      </c>
      <c r="P129" s="212" t="s">
        <v>56</v>
      </c>
      <c r="Q129" s="199" t="s">
        <v>560</v>
      </c>
      <c r="R129" s="199" t="s">
        <v>323</v>
      </c>
      <c r="S129" s="201"/>
      <c r="T129" s="201"/>
      <c r="U129" s="200">
        <v>1</v>
      </c>
      <c r="V129" s="200">
        <v>134757.07</v>
      </c>
      <c r="W129" s="200">
        <f t="shared" si="81"/>
        <v>134757.07</v>
      </c>
      <c r="X129" s="202">
        <f t="shared" si="82"/>
        <v>63852.027851145504</v>
      </c>
      <c r="Y129" s="200">
        <f t="shared" si="83"/>
        <v>198609.09785114552</v>
      </c>
      <c r="Z129" s="203">
        <f t="shared" si="91"/>
        <v>223.2</v>
      </c>
      <c r="AA129" s="203">
        <f t="shared" si="92"/>
        <v>85.8</v>
      </c>
      <c r="AB129" s="203">
        <f t="shared" si="93"/>
        <v>16188</v>
      </c>
      <c r="AC129" s="203">
        <f t="shared" si="89"/>
        <v>1296.6719330855017</v>
      </c>
      <c r="AD129" s="203">
        <v>180</v>
      </c>
      <c r="AE129" s="203">
        <f t="shared" si="87"/>
        <v>2641.2385720000002</v>
      </c>
      <c r="AF129" s="203"/>
      <c r="AG129" s="203">
        <f t="shared" si="84"/>
        <v>1953.9775150000003</v>
      </c>
      <c r="AH129" s="203">
        <f t="shared" si="85"/>
        <v>1328.4351960600002</v>
      </c>
      <c r="AI129" s="203"/>
      <c r="AJ129" s="204">
        <f t="shared" si="88"/>
        <v>653.40000000000009</v>
      </c>
      <c r="AK129" s="203">
        <f t="shared" si="86"/>
        <v>67.378534999999999</v>
      </c>
      <c r="AL129" s="203"/>
      <c r="AM129" s="204">
        <f t="shared" si="77"/>
        <v>8239.7999999999993</v>
      </c>
      <c r="AN129" s="203">
        <f t="shared" si="78"/>
        <v>30994.126100000001</v>
      </c>
      <c r="AO129" s="217">
        <f t="shared" si="79"/>
        <v>0</v>
      </c>
      <c r="AP129" s="217">
        <f t="shared" si="80"/>
        <v>3286.7578048780269</v>
      </c>
    </row>
    <row r="130" spans="2:42" ht="13.15" hidden="1" customHeight="1" thickBot="1">
      <c r="B130" s="199" t="s">
        <v>925</v>
      </c>
      <c r="C130" s="199" t="s">
        <v>884</v>
      </c>
      <c r="D130" s="199" t="s">
        <v>926</v>
      </c>
      <c r="E130" s="199" t="s">
        <v>927</v>
      </c>
      <c r="F130" s="199" t="s">
        <v>565</v>
      </c>
      <c r="G130" s="200">
        <v>5</v>
      </c>
      <c r="H130" s="197" t="str">
        <f t="shared" si="90"/>
        <v>M</v>
      </c>
      <c r="I130" s="199" t="s">
        <v>559</v>
      </c>
      <c r="J130" s="199" t="s">
        <v>542</v>
      </c>
      <c r="K130" s="200">
        <v>1</v>
      </c>
      <c r="L130" s="200">
        <v>100</v>
      </c>
      <c r="M130" s="200">
        <v>1</v>
      </c>
      <c r="N130" s="199" t="s">
        <v>64</v>
      </c>
      <c r="O130" s="199" t="s">
        <v>288</v>
      </c>
      <c r="P130" s="212" t="s">
        <v>55</v>
      </c>
      <c r="Q130" s="199" t="s">
        <v>560</v>
      </c>
      <c r="R130" s="199" t="s">
        <v>233</v>
      </c>
      <c r="S130" s="201"/>
      <c r="T130" s="201"/>
      <c r="U130" s="200">
        <v>1</v>
      </c>
      <c r="V130" s="200">
        <v>94163.15</v>
      </c>
      <c r="W130" s="200">
        <f t="shared" si="81"/>
        <v>94163.15</v>
      </c>
      <c r="X130" s="202">
        <f t="shared" si="82"/>
        <v>50129.017055785502</v>
      </c>
      <c r="Y130" s="200">
        <f t="shared" si="83"/>
        <v>144292.16705578548</v>
      </c>
      <c r="Z130" s="203">
        <f t="shared" si="91"/>
        <v>223.2</v>
      </c>
      <c r="AA130" s="203">
        <f t="shared" si="92"/>
        <v>85.8</v>
      </c>
      <c r="AB130" s="203">
        <f t="shared" si="93"/>
        <v>16188</v>
      </c>
      <c r="AC130" s="203">
        <f t="shared" si="89"/>
        <v>1296.6719330855017</v>
      </c>
      <c r="AD130" s="203"/>
      <c r="AE130" s="203">
        <f t="shared" si="87"/>
        <v>1845.5977399999999</v>
      </c>
      <c r="AF130" s="203"/>
      <c r="AG130" s="203">
        <f t="shared" si="84"/>
        <v>1365.365675</v>
      </c>
      <c r="AH130" s="203">
        <f t="shared" si="85"/>
        <v>928.26033269999994</v>
      </c>
      <c r="AI130" s="203"/>
      <c r="AJ130" s="204">
        <f t="shared" si="88"/>
        <v>653.40000000000009</v>
      </c>
      <c r="AK130" s="203">
        <f t="shared" si="86"/>
        <v>47.081575000000001</v>
      </c>
      <c r="AL130" s="203"/>
      <c r="AM130" s="204">
        <f t="shared" si="77"/>
        <v>5838.1152999999995</v>
      </c>
      <c r="AN130" s="203">
        <f t="shared" si="78"/>
        <v>21657.5245</v>
      </c>
      <c r="AO130" s="217">
        <f t="shared" si="79"/>
        <v>0</v>
      </c>
      <c r="AP130" s="217">
        <f t="shared" si="80"/>
        <v>2296.6621951219422</v>
      </c>
    </row>
    <row r="131" spans="2:42" ht="13.5" hidden="1" thickBot="1">
      <c r="B131" s="199" t="s">
        <v>928</v>
      </c>
      <c r="C131" s="199" t="s">
        <v>929</v>
      </c>
      <c r="D131" s="199" t="s">
        <v>930</v>
      </c>
      <c r="E131" s="199" t="s">
        <v>931</v>
      </c>
      <c r="F131" s="199" t="s">
        <v>900</v>
      </c>
      <c r="G131" s="200">
        <v>2</v>
      </c>
      <c r="H131" s="197" t="str">
        <f t="shared" si="90"/>
        <v>M</v>
      </c>
      <c r="I131" s="199" t="s">
        <v>559</v>
      </c>
      <c r="J131" s="199" t="s">
        <v>542</v>
      </c>
      <c r="K131" s="200">
        <v>1</v>
      </c>
      <c r="L131" s="200">
        <v>100</v>
      </c>
      <c r="M131" s="200">
        <v>1</v>
      </c>
      <c r="N131" s="199" t="s">
        <v>64</v>
      </c>
      <c r="O131" s="199" t="s">
        <v>261</v>
      </c>
      <c r="P131" s="212" t="s">
        <v>55</v>
      </c>
      <c r="Q131" s="199" t="s">
        <v>560</v>
      </c>
      <c r="R131" s="199" t="s">
        <v>233</v>
      </c>
      <c r="S131" s="201"/>
      <c r="T131" s="201"/>
      <c r="U131" s="200">
        <v>1</v>
      </c>
      <c r="V131" s="200">
        <v>83894.68</v>
      </c>
      <c r="W131" s="200">
        <f t="shared" si="81"/>
        <v>83894.68</v>
      </c>
      <c r="X131" s="202">
        <f t="shared" si="82"/>
        <v>46674.108176525493</v>
      </c>
      <c r="Y131" s="200">
        <f t="shared" si="83"/>
        <v>130568.78817652549</v>
      </c>
      <c r="Z131" s="203">
        <f t="shared" si="91"/>
        <v>223.2</v>
      </c>
      <c r="AA131" s="203">
        <f t="shared" si="92"/>
        <v>85.8</v>
      </c>
      <c r="AB131" s="203">
        <f t="shared" si="93"/>
        <v>16188</v>
      </c>
      <c r="AC131" s="203">
        <f t="shared" si="89"/>
        <v>1296.6719330855017</v>
      </c>
      <c r="AD131" s="203"/>
      <c r="AE131" s="203">
        <f t="shared" si="87"/>
        <v>1644.3357279999998</v>
      </c>
      <c r="AF131" s="203"/>
      <c r="AG131" s="203">
        <f t="shared" si="84"/>
        <v>1216.4728599999999</v>
      </c>
      <c r="AH131" s="203">
        <f t="shared" si="85"/>
        <v>827.03375543999994</v>
      </c>
      <c r="AI131" s="203"/>
      <c r="AJ131" s="204">
        <f t="shared" si="88"/>
        <v>653.40000000000009</v>
      </c>
      <c r="AK131" s="203">
        <f t="shared" si="86"/>
        <v>41.947339999999997</v>
      </c>
      <c r="AL131" s="203"/>
      <c r="AM131" s="204">
        <f t="shared" si="77"/>
        <v>5201.4701599999999</v>
      </c>
      <c r="AN131" s="203">
        <f t="shared" si="78"/>
        <v>19295.776399999999</v>
      </c>
      <c r="AO131" s="217">
        <f t="shared" si="79"/>
        <v>0</v>
      </c>
      <c r="AP131" s="217">
        <f t="shared" si="80"/>
        <v>2046.2117073170666</v>
      </c>
    </row>
    <row r="132" spans="2:42" ht="13.5" hidden="1" thickBot="1">
      <c r="B132" s="285" t="s">
        <v>793</v>
      </c>
      <c r="C132" s="249" t="s">
        <v>24</v>
      </c>
      <c r="D132" s="251"/>
      <c r="E132" s="251"/>
      <c r="F132" s="249" t="s">
        <v>565</v>
      </c>
      <c r="G132" s="250">
        <v>1</v>
      </c>
      <c r="H132" s="250" t="str">
        <f t="shared" si="90"/>
        <v>M</v>
      </c>
      <c r="I132" s="249" t="s">
        <v>559</v>
      </c>
      <c r="J132" s="249" t="s">
        <v>542</v>
      </c>
      <c r="K132" s="250">
        <v>1</v>
      </c>
      <c r="L132" s="250">
        <v>100</v>
      </c>
      <c r="M132" s="250">
        <v>1</v>
      </c>
      <c r="N132" s="249" t="s">
        <v>64</v>
      </c>
      <c r="O132" s="249" t="s">
        <v>229</v>
      </c>
      <c r="P132" s="212" t="s">
        <v>55</v>
      </c>
      <c r="Q132" s="249">
        <v>2110</v>
      </c>
      <c r="R132" s="249">
        <v>672000</v>
      </c>
      <c r="S132" s="251"/>
      <c r="T132" s="251"/>
      <c r="U132" s="200">
        <v>1</v>
      </c>
      <c r="V132" s="250">
        <v>82325.64</v>
      </c>
      <c r="W132" s="250">
        <f t="shared" si="81"/>
        <v>82325.64</v>
      </c>
      <c r="X132" s="202">
        <f t="shared" si="82"/>
        <v>46146.192116205508</v>
      </c>
      <c r="Y132" s="250">
        <f t="shared" si="83"/>
        <v>128471.83211620551</v>
      </c>
      <c r="Z132" s="253">
        <f t="shared" si="91"/>
        <v>223.2</v>
      </c>
      <c r="AA132" s="253">
        <f t="shared" si="92"/>
        <v>85.8</v>
      </c>
      <c r="AB132" s="253">
        <f t="shared" si="93"/>
        <v>16188</v>
      </c>
      <c r="AC132" s="253">
        <f t="shared" si="89"/>
        <v>1296.6719330855017</v>
      </c>
      <c r="AD132" s="253"/>
      <c r="AE132" s="253">
        <f t="shared" si="87"/>
        <v>1613.5825439999999</v>
      </c>
      <c r="AF132" s="253"/>
      <c r="AG132" s="253">
        <f t="shared" si="84"/>
        <v>1193.7217800000001</v>
      </c>
      <c r="AH132" s="253">
        <f t="shared" si="85"/>
        <v>811.56615912000007</v>
      </c>
      <c r="AI132" s="253"/>
      <c r="AJ132" s="254">
        <f t="shared" si="88"/>
        <v>653.40000000000009</v>
      </c>
      <c r="AK132" s="253">
        <f t="shared" si="86"/>
        <v>41.162820000000004</v>
      </c>
      <c r="AL132" s="253"/>
      <c r="AM132" s="254">
        <f t="shared" si="77"/>
        <v>5104.1896799999995</v>
      </c>
      <c r="AN132" s="253">
        <f t="shared" si="78"/>
        <v>18934.897199999999</v>
      </c>
      <c r="AO132" s="217">
        <f t="shared" si="79"/>
        <v>0</v>
      </c>
      <c r="AP132" s="217">
        <f t="shared" si="80"/>
        <v>2007.9424390243803</v>
      </c>
    </row>
    <row r="133" spans="2:42" ht="13.5" hidden="1" thickBot="1">
      <c r="B133" s="198" t="s">
        <v>932</v>
      </c>
      <c r="C133" s="198" t="s">
        <v>933</v>
      </c>
      <c r="D133" s="198" t="s">
        <v>934</v>
      </c>
      <c r="E133" s="198" t="s">
        <v>935</v>
      </c>
      <c r="F133" s="198" t="s">
        <v>936</v>
      </c>
      <c r="G133" s="197">
        <v>2</v>
      </c>
      <c r="H133" s="197" t="str">
        <f t="shared" si="90"/>
        <v>C</v>
      </c>
      <c r="I133" s="198" t="s">
        <v>937</v>
      </c>
      <c r="J133" s="198" t="s">
        <v>542</v>
      </c>
      <c r="K133" s="197">
        <v>0</v>
      </c>
      <c r="L133" s="197">
        <v>100</v>
      </c>
      <c r="M133" s="197">
        <v>1</v>
      </c>
      <c r="N133" s="198" t="s">
        <v>64</v>
      </c>
      <c r="O133" s="198" t="s">
        <v>400</v>
      </c>
      <c r="P133" s="212" t="s">
        <v>61</v>
      </c>
      <c r="Q133" s="198" t="s">
        <v>74</v>
      </c>
      <c r="R133" s="198" t="s">
        <v>403</v>
      </c>
      <c r="S133" s="198" t="s">
        <v>194</v>
      </c>
      <c r="T133" s="205"/>
      <c r="U133" s="197">
        <v>0</v>
      </c>
      <c r="V133" s="197">
        <v>0</v>
      </c>
      <c r="W133" s="197">
        <f t="shared" si="81"/>
        <v>0</v>
      </c>
      <c r="X133" s="206">
        <f t="shared" ref="X133:X164" si="94">SUM(Z133:AN133)</f>
        <v>0</v>
      </c>
      <c r="Y133" s="197">
        <f t="shared" si="83"/>
        <v>0</v>
      </c>
      <c r="Z133" s="207"/>
      <c r="AA133" s="207"/>
      <c r="AB133" s="207"/>
      <c r="AC133" s="207">
        <f t="shared" si="89"/>
        <v>0</v>
      </c>
      <c r="AD133" s="207"/>
      <c r="AE133" s="207">
        <f t="shared" si="87"/>
        <v>0</v>
      </c>
      <c r="AF133" s="207"/>
      <c r="AG133" s="207">
        <f t="shared" si="84"/>
        <v>0</v>
      </c>
      <c r="AH133" s="207">
        <f t="shared" si="85"/>
        <v>0</v>
      </c>
      <c r="AI133" s="207"/>
      <c r="AJ133" s="204">
        <f t="shared" si="88"/>
        <v>0</v>
      </c>
      <c r="AK133" s="207">
        <f t="shared" si="86"/>
        <v>0</v>
      </c>
      <c r="AL133" s="207"/>
      <c r="AM133" s="204">
        <f t="shared" si="77"/>
        <v>0</v>
      </c>
      <c r="AN133" s="207">
        <f t="shared" si="78"/>
        <v>0</v>
      </c>
      <c r="AO133" s="217">
        <f t="shared" si="79"/>
        <v>0</v>
      </c>
      <c r="AP133" s="217">
        <f t="shared" si="80"/>
        <v>0</v>
      </c>
    </row>
    <row r="134" spans="2:42" ht="13.5" hidden="1" thickBot="1">
      <c r="B134" s="199" t="s">
        <v>938</v>
      </c>
      <c r="C134" s="199" t="s">
        <v>939</v>
      </c>
      <c r="D134" s="199" t="s">
        <v>940</v>
      </c>
      <c r="E134" s="199" t="s">
        <v>941</v>
      </c>
      <c r="F134" s="199" t="s">
        <v>757</v>
      </c>
      <c r="G134" s="200">
        <v>1</v>
      </c>
      <c r="H134" s="197" t="str">
        <f t="shared" si="90"/>
        <v>C</v>
      </c>
      <c r="I134" s="199" t="s">
        <v>937</v>
      </c>
      <c r="J134" s="199" t="s">
        <v>542</v>
      </c>
      <c r="K134" s="200">
        <v>0</v>
      </c>
      <c r="L134" s="200">
        <v>100</v>
      </c>
      <c r="M134" s="200">
        <v>0</v>
      </c>
      <c r="N134" s="199" t="s">
        <v>64</v>
      </c>
      <c r="O134" s="199" t="s">
        <v>288</v>
      </c>
      <c r="P134" s="212" t="s">
        <v>55</v>
      </c>
      <c r="Q134" s="199" t="s">
        <v>74</v>
      </c>
      <c r="R134" s="199" t="s">
        <v>233</v>
      </c>
      <c r="S134" s="201"/>
      <c r="T134" s="201"/>
      <c r="U134" s="200">
        <v>0</v>
      </c>
      <c r="V134" s="200"/>
      <c r="W134" s="200">
        <f t="shared" si="81"/>
        <v>0</v>
      </c>
      <c r="X134" s="202">
        <f t="shared" si="94"/>
        <v>0</v>
      </c>
      <c r="Y134" s="200">
        <f t="shared" si="83"/>
        <v>0</v>
      </c>
      <c r="Z134" s="203"/>
      <c r="AA134" s="203"/>
      <c r="AB134" s="203"/>
      <c r="AC134" s="203">
        <f t="shared" si="89"/>
        <v>0</v>
      </c>
      <c r="AD134" s="203"/>
      <c r="AE134" s="203">
        <f t="shared" si="87"/>
        <v>0</v>
      </c>
      <c r="AF134" s="203"/>
      <c r="AG134" s="203">
        <f t="shared" si="84"/>
        <v>0</v>
      </c>
      <c r="AH134" s="203">
        <f t="shared" si="85"/>
        <v>0</v>
      </c>
      <c r="AI134" s="203"/>
      <c r="AJ134" s="204">
        <f t="shared" si="88"/>
        <v>0</v>
      </c>
      <c r="AK134" s="203">
        <f t="shared" si="86"/>
        <v>0</v>
      </c>
      <c r="AL134" s="203"/>
      <c r="AM134" s="204">
        <f t="shared" si="77"/>
        <v>0</v>
      </c>
      <c r="AN134" s="203">
        <f t="shared" si="78"/>
        <v>0</v>
      </c>
      <c r="AO134" s="217">
        <f t="shared" ref="AO134:AO164" si="95">IF(H134="C",IF(G134&lt;15,W134-(W134/1.025),0),0)</f>
        <v>0</v>
      </c>
      <c r="AP134" s="217">
        <f t="shared" ref="AP134:AP164" si="96">IF(H134="M",IF(G134&lt;15,W134-(W134/1.025),0),0)</f>
        <v>0</v>
      </c>
    </row>
    <row r="135" spans="2:42" ht="13.5" hidden="1" thickBot="1">
      <c r="B135" s="199" t="s">
        <v>942</v>
      </c>
      <c r="C135" s="199" t="s">
        <v>943</v>
      </c>
      <c r="D135" s="199" t="s">
        <v>944</v>
      </c>
      <c r="E135" s="199" t="s">
        <v>945</v>
      </c>
      <c r="F135" s="199" t="s">
        <v>540</v>
      </c>
      <c r="G135" s="200">
        <v>1</v>
      </c>
      <c r="H135" s="197" t="str">
        <f t="shared" si="90"/>
        <v>C</v>
      </c>
      <c r="I135" s="199" t="s">
        <v>937</v>
      </c>
      <c r="J135" s="199" t="s">
        <v>542</v>
      </c>
      <c r="K135" s="200">
        <v>0</v>
      </c>
      <c r="L135" s="200">
        <v>100</v>
      </c>
      <c r="M135" s="200">
        <v>0</v>
      </c>
      <c r="N135" s="199" t="s">
        <v>64</v>
      </c>
      <c r="O135" s="199" t="s">
        <v>292</v>
      </c>
      <c r="P135" s="212" t="s">
        <v>55</v>
      </c>
      <c r="Q135" s="199" t="s">
        <v>74</v>
      </c>
      <c r="R135" s="199" t="s">
        <v>233</v>
      </c>
      <c r="S135" s="201"/>
      <c r="T135" s="201"/>
      <c r="U135" s="200">
        <v>0</v>
      </c>
      <c r="V135" s="200"/>
      <c r="W135" s="200">
        <f t="shared" si="81"/>
        <v>0</v>
      </c>
      <c r="X135" s="202">
        <f t="shared" si="94"/>
        <v>0</v>
      </c>
      <c r="Y135" s="200">
        <f t="shared" si="83"/>
        <v>0</v>
      </c>
      <c r="Z135" s="203"/>
      <c r="AA135" s="203"/>
      <c r="AB135" s="203"/>
      <c r="AC135" s="203">
        <f t="shared" si="89"/>
        <v>0</v>
      </c>
      <c r="AD135" s="203"/>
      <c r="AE135" s="203">
        <f t="shared" si="87"/>
        <v>0</v>
      </c>
      <c r="AF135" s="203"/>
      <c r="AG135" s="203">
        <f t="shared" si="84"/>
        <v>0</v>
      </c>
      <c r="AH135" s="203">
        <f t="shared" si="85"/>
        <v>0</v>
      </c>
      <c r="AI135" s="203"/>
      <c r="AJ135" s="204">
        <f t="shared" si="88"/>
        <v>0</v>
      </c>
      <c r="AK135" s="203">
        <f t="shared" si="86"/>
        <v>0</v>
      </c>
      <c r="AL135" s="203"/>
      <c r="AM135" s="204">
        <f t="shared" si="77"/>
        <v>0</v>
      </c>
      <c r="AN135" s="203">
        <f t="shared" si="78"/>
        <v>0</v>
      </c>
      <c r="AO135" s="217">
        <f t="shared" si="95"/>
        <v>0</v>
      </c>
      <c r="AP135" s="217">
        <f t="shared" si="96"/>
        <v>0</v>
      </c>
    </row>
    <row r="136" spans="2:42" ht="13.5" hidden="1" thickBot="1">
      <c r="B136" s="199" t="s">
        <v>946</v>
      </c>
      <c r="C136" s="199" t="s">
        <v>947</v>
      </c>
      <c r="D136" s="199" t="s">
        <v>948</v>
      </c>
      <c r="E136" s="199" t="s">
        <v>949</v>
      </c>
      <c r="F136" s="263"/>
      <c r="G136" s="201"/>
      <c r="H136" s="197" t="str">
        <f t="shared" si="90"/>
        <v>T</v>
      </c>
      <c r="I136" s="198" t="s">
        <v>950</v>
      </c>
      <c r="J136" s="241" t="s">
        <v>542</v>
      </c>
      <c r="K136" s="291">
        <v>1</v>
      </c>
      <c r="L136" s="200">
        <v>100</v>
      </c>
      <c r="M136" s="291">
        <v>1</v>
      </c>
      <c r="N136" s="199" t="s">
        <v>64</v>
      </c>
      <c r="O136" s="292" t="s">
        <v>400</v>
      </c>
      <c r="P136" s="212" t="s">
        <v>61</v>
      </c>
      <c r="Q136" s="293">
        <v>2110</v>
      </c>
      <c r="R136" s="199">
        <v>660020</v>
      </c>
      <c r="S136" s="199"/>
      <c r="T136" s="201"/>
      <c r="U136" s="200">
        <f t="shared" ref="U136:U142" si="97">(100)*0.01</f>
        <v>1</v>
      </c>
      <c r="V136" s="264">
        <v>3600</v>
      </c>
      <c r="W136" s="200">
        <f t="shared" ref="W136:W167" si="98">+V136*U136</f>
        <v>3600</v>
      </c>
      <c r="X136" s="202">
        <f t="shared" si="94"/>
        <v>17989.360733085501</v>
      </c>
      <c r="Y136" s="200">
        <f t="shared" ref="Y136:Y167" si="99">+W136+X136</f>
        <v>21589.360733085501</v>
      </c>
      <c r="Z136" s="203">
        <f t="shared" ref="Z136:Z142" si="100">+$Z$4*U136</f>
        <v>223.2</v>
      </c>
      <c r="AA136" s="203">
        <f t="shared" ref="AA136:AA142" si="101">+$AA$4*U136</f>
        <v>85.8</v>
      </c>
      <c r="AB136" s="203">
        <f t="shared" ref="AB136:AB142" si="102">+$AB$4*U136</f>
        <v>16188</v>
      </c>
      <c r="AC136" s="203">
        <f t="shared" si="89"/>
        <v>1296.6719330855017</v>
      </c>
      <c r="AD136" s="203"/>
      <c r="AE136" s="203">
        <f t="shared" si="87"/>
        <v>70.56</v>
      </c>
      <c r="AF136" s="203"/>
      <c r="AG136" s="203">
        <f t="shared" ref="AG136:AG167" si="103">+W136*$AG$4</f>
        <v>52.2</v>
      </c>
      <c r="AH136" s="203">
        <f t="shared" ref="AH136:AH167" si="104">+W136*$AH$4</f>
        <v>35.488800000000005</v>
      </c>
      <c r="AI136" s="203"/>
      <c r="AJ136" s="204">
        <f t="shared" si="88"/>
        <v>35.64</v>
      </c>
      <c r="AK136" s="203">
        <f t="shared" ref="AK136:AK167" si="105">+W136*$AK$4</f>
        <v>1.8</v>
      </c>
      <c r="AL136" s="203"/>
      <c r="AM136" s="204"/>
      <c r="AN136" s="203"/>
      <c r="AO136" s="217">
        <f t="shared" si="95"/>
        <v>0</v>
      </c>
      <c r="AP136" s="217">
        <f t="shared" si="96"/>
        <v>0</v>
      </c>
    </row>
    <row r="137" spans="2:42" ht="13.5" hidden="1" thickBot="1">
      <c r="B137" s="199" t="s">
        <v>951</v>
      </c>
      <c r="C137" s="199" t="s">
        <v>947</v>
      </c>
      <c r="D137" s="199" t="s">
        <v>952</v>
      </c>
      <c r="E137" s="199" t="s">
        <v>953</v>
      </c>
      <c r="F137" s="263"/>
      <c r="G137" s="201"/>
      <c r="H137" s="197" t="str">
        <f t="shared" si="90"/>
        <v>T</v>
      </c>
      <c r="I137" s="198" t="s">
        <v>950</v>
      </c>
      <c r="J137" s="241" t="s">
        <v>542</v>
      </c>
      <c r="K137" s="291">
        <v>1</v>
      </c>
      <c r="L137" s="200">
        <v>100</v>
      </c>
      <c r="M137" s="291">
        <v>1</v>
      </c>
      <c r="N137" s="199" t="s">
        <v>64</v>
      </c>
      <c r="O137" s="292" t="s">
        <v>400</v>
      </c>
      <c r="P137" s="212" t="s">
        <v>61</v>
      </c>
      <c r="Q137" s="293">
        <v>2110</v>
      </c>
      <c r="R137" s="199">
        <v>660020</v>
      </c>
      <c r="S137" s="199"/>
      <c r="T137" s="201"/>
      <c r="U137" s="200">
        <f t="shared" si="97"/>
        <v>1</v>
      </c>
      <c r="V137" s="264">
        <v>3600</v>
      </c>
      <c r="W137" s="200">
        <f t="shared" si="98"/>
        <v>3600</v>
      </c>
      <c r="X137" s="202">
        <f t="shared" si="94"/>
        <v>17989.360733085501</v>
      </c>
      <c r="Y137" s="200">
        <f t="shared" si="99"/>
        <v>21589.360733085501</v>
      </c>
      <c r="Z137" s="203">
        <f t="shared" si="100"/>
        <v>223.2</v>
      </c>
      <c r="AA137" s="203">
        <f t="shared" si="101"/>
        <v>85.8</v>
      </c>
      <c r="AB137" s="203">
        <f t="shared" si="102"/>
        <v>16188</v>
      </c>
      <c r="AC137" s="203">
        <f t="shared" si="89"/>
        <v>1296.6719330855017</v>
      </c>
      <c r="AD137" s="203"/>
      <c r="AE137" s="203">
        <f t="shared" si="87"/>
        <v>70.56</v>
      </c>
      <c r="AF137" s="203"/>
      <c r="AG137" s="203">
        <f t="shared" si="103"/>
        <v>52.2</v>
      </c>
      <c r="AH137" s="203">
        <f t="shared" si="104"/>
        <v>35.488800000000005</v>
      </c>
      <c r="AI137" s="203"/>
      <c r="AJ137" s="204">
        <f t="shared" si="88"/>
        <v>35.64</v>
      </c>
      <c r="AK137" s="203">
        <f t="shared" si="105"/>
        <v>1.8</v>
      </c>
      <c r="AL137" s="203"/>
      <c r="AM137" s="204"/>
      <c r="AN137" s="203"/>
      <c r="AO137" s="217">
        <f t="shared" si="95"/>
        <v>0</v>
      </c>
      <c r="AP137" s="217">
        <f t="shared" si="96"/>
        <v>0</v>
      </c>
    </row>
    <row r="138" spans="2:42" ht="13.5" hidden="1" thickBot="1">
      <c r="B138" s="199" t="s">
        <v>954</v>
      </c>
      <c r="C138" s="199" t="s">
        <v>947</v>
      </c>
      <c r="D138" s="199" t="s">
        <v>955</v>
      </c>
      <c r="E138" s="199" t="s">
        <v>956</v>
      </c>
      <c r="F138" s="263"/>
      <c r="G138" s="201"/>
      <c r="H138" s="197" t="str">
        <f t="shared" si="90"/>
        <v>T</v>
      </c>
      <c r="I138" s="198" t="s">
        <v>950</v>
      </c>
      <c r="J138" s="241" t="s">
        <v>542</v>
      </c>
      <c r="K138" s="291">
        <v>1</v>
      </c>
      <c r="L138" s="200">
        <v>100</v>
      </c>
      <c r="M138" s="291">
        <v>1</v>
      </c>
      <c r="N138" s="199" t="s">
        <v>64</v>
      </c>
      <c r="O138" s="292" t="s">
        <v>400</v>
      </c>
      <c r="P138" s="212" t="s">
        <v>61</v>
      </c>
      <c r="Q138" s="293">
        <v>2110</v>
      </c>
      <c r="R138" s="199">
        <v>660020</v>
      </c>
      <c r="S138" s="199"/>
      <c r="T138" s="201"/>
      <c r="U138" s="200">
        <f t="shared" si="97"/>
        <v>1</v>
      </c>
      <c r="V138" s="264">
        <v>3600</v>
      </c>
      <c r="W138" s="200">
        <f t="shared" si="98"/>
        <v>3600</v>
      </c>
      <c r="X138" s="202">
        <f t="shared" si="94"/>
        <v>17989.360733085501</v>
      </c>
      <c r="Y138" s="200">
        <f t="shared" si="99"/>
        <v>21589.360733085501</v>
      </c>
      <c r="Z138" s="203">
        <f t="shared" si="100"/>
        <v>223.2</v>
      </c>
      <c r="AA138" s="203">
        <f t="shared" si="101"/>
        <v>85.8</v>
      </c>
      <c r="AB138" s="203">
        <f t="shared" si="102"/>
        <v>16188</v>
      </c>
      <c r="AC138" s="203">
        <f t="shared" si="89"/>
        <v>1296.6719330855017</v>
      </c>
      <c r="AD138" s="203"/>
      <c r="AE138" s="203">
        <f t="shared" si="87"/>
        <v>70.56</v>
      </c>
      <c r="AF138" s="203"/>
      <c r="AG138" s="203">
        <f t="shared" si="103"/>
        <v>52.2</v>
      </c>
      <c r="AH138" s="203">
        <f t="shared" si="104"/>
        <v>35.488800000000005</v>
      </c>
      <c r="AI138" s="203"/>
      <c r="AJ138" s="204">
        <f t="shared" si="88"/>
        <v>35.64</v>
      </c>
      <c r="AK138" s="203">
        <f t="shared" si="105"/>
        <v>1.8</v>
      </c>
      <c r="AL138" s="203"/>
      <c r="AM138" s="204"/>
      <c r="AN138" s="203"/>
      <c r="AO138" s="217">
        <f t="shared" si="95"/>
        <v>0</v>
      </c>
      <c r="AP138" s="217">
        <f t="shared" si="96"/>
        <v>0</v>
      </c>
    </row>
    <row r="139" spans="2:42" s="208" customFormat="1" ht="13.5" hidden="1" thickBot="1">
      <c r="B139" s="199" t="s">
        <v>957</v>
      </c>
      <c r="C139" s="199" t="s">
        <v>947</v>
      </c>
      <c r="D139" s="199" t="s">
        <v>958</v>
      </c>
      <c r="E139" s="199" t="s">
        <v>959</v>
      </c>
      <c r="F139" s="263"/>
      <c r="G139" s="201"/>
      <c r="H139" s="197" t="str">
        <f t="shared" si="90"/>
        <v>T</v>
      </c>
      <c r="I139" s="198" t="s">
        <v>950</v>
      </c>
      <c r="J139" s="241" t="s">
        <v>542</v>
      </c>
      <c r="K139" s="291">
        <v>1</v>
      </c>
      <c r="L139" s="200">
        <v>100</v>
      </c>
      <c r="M139" s="291">
        <v>1</v>
      </c>
      <c r="N139" s="199" t="s">
        <v>64</v>
      </c>
      <c r="O139" s="292" t="s">
        <v>400</v>
      </c>
      <c r="P139" s="212" t="s">
        <v>61</v>
      </c>
      <c r="Q139" s="293">
        <v>2110</v>
      </c>
      <c r="R139" s="199">
        <v>660020</v>
      </c>
      <c r="S139" s="199"/>
      <c r="T139" s="201"/>
      <c r="U139" s="200">
        <f t="shared" si="97"/>
        <v>1</v>
      </c>
      <c r="V139" s="264">
        <v>3600</v>
      </c>
      <c r="W139" s="200">
        <f t="shared" si="98"/>
        <v>3600</v>
      </c>
      <c r="X139" s="202">
        <f t="shared" si="94"/>
        <v>17989.360733085501</v>
      </c>
      <c r="Y139" s="200">
        <f t="shared" si="99"/>
        <v>21589.360733085501</v>
      </c>
      <c r="Z139" s="203">
        <f t="shared" si="100"/>
        <v>223.2</v>
      </c>
      <c r="AA139" s="203">
        <f t="shared" si="101"/>
        <v>85.8</v>
      </c>
      <c r="AB139" s="203">
        <f t="shared" si="102"/>
        <v>16188</v>
      </c>
      <c r="AC139" s="203">
        <f t="shared" si="89"/>
        <v>1296.6719330855017</v>
      </c>
      <c r="AD139" s="203"/>
      <c r="AE139" s="203">
        <f t="shared" si="87"/>
        <v>70.56</v>
      </c>
      <c r="AF139" s="203"/>
      <c r="AG139" s="203">
        <f t="shared" si="103"/>
        <v>52.2</v>
      </c>
      <c r="AH139" s="203">
        <f t="shared" si="104"/>
        <v>35.488800000000005</v>
      </c>
      <c r="AI139" s="203"/>
      <c r="AJ139" s="204">
        <f t="shared" si="88"/>
        <v>35.64</v>
      </c>
      <c r="AK139" s="203">
        <f t="shared" si="105"/>
        <v>1.8</v>
      </c>
      <c r="AL139" s="203"/>
      <c r="AM139" s="204"/>
      <c r="AN139" s="203"/>
      <c r="AO139" s="272">
        <f t="shared" si="95"/>
        <v>0</v>
      </c>
      <c r="AP139" s="272">
        <f t="shared" si="96"/>
        <v>0</v>
      </c>
    </row>
    <row r="140" spans="2:42" s="208" customFormat="1" ht="13.5" hidden="1" thickBot="1">
      <c r="B140" s="199" t="s">
        <v>960</v>
      </c>
      <c r="C140" s="199" t="s">
        <v>947</v>
      </c>
      <c r="D140" s="199" t="s">
        <v>961</v>
      </c>
      <c r="E140" s="199" t="s">
        <v>962</v>
      </c>
      <c r="F140" s="263"/>
      <c r="G140" s="201"/>
      <c r="H140" s="197" t="str">
        <f t="shared" si="90"/>
        <v>T</v>
      </c>
      <c r="I140" s="198" t="s">
        <v>950</v>
      </c>
      <c r="J140" s="241" t="s">
        <v>542</v>
      </c>
      <c r="K140" s="291">
        <v>1</v>
      </c>
      <c r="L140" s="200">
        <v>100</v>
      </c>
      <c r="M140" s="291">
        <v>1</v>
      </c>
      <c r="N140" s="199" t="s">
        <v>64</v>
      </c>
      <c r="O140" s="292" t="s">
        <v>400</v>
      </c>
      <c r="P140" s="212" t="s">
        <v>61</v>
      </c>
      <c r="Q140" s="293">
        <v>2110</v>
      </c>
      <c r="R140" s="199">
        <v>660020</v>
      </c>
      <c r="S140" s="199"/>
      <c r="T140" s="201"/>
      <c r="U140" s="200">
        <f t="shared" si="97"/>
        <v>1</v>
      </c>
      <c r="V140" s="264">
        <v>3600</v>
      </c>
      <c r="W140" s="200">
        <f t="shared" si="98"/>
        <v>3600</v>
      </c>
      <c r="X140" s="202">
        <f t="shared" si="94"/>
        <v>17989.360733085501</v>
      </c>
      <c r="Y140" s="200">
        <f t="shared" si="99"/>
        <v>21589.360733085501</v>
      </c>
      <c r="Z140" s="203">
        <f t="shared" si="100"/>
        <v>223.2</v>
      </c>
      <c r="AA140" s="203">
        <f t="shared" si="101"/>
        <v>85.8</v>
      </c>
      <c r="AB140" s="203">
        <f t="shared" si="102"/>
        <v>16188</v>
      </c>
      <c r="AC140" s="203">
        <f t="shared" si="89"/>
        <v>1296.6719330855017</v>
      </c>
      <c r="AD140" s="203"/>
      <c r="AE140" s="203">
        <f t="shared" si="87"/>
        <v>70.56</v>
      </c>
      <c r="AF140" s="203"/>
      <c r="AG140" s="203">
        <f t="shared" si="103"/>
        <v>52.2</v>
      </c>
      <c r="AH140" s="203">
        <f t="shared" si="104"/>
        <v>35.488800000000005</v>
      </c>
      <c r="AI140" s="203"/>
      <c r="AJ140" s="204">
        <f t="shared" si="88"/>
        <v>35.64</v>
      </c>
      <c r="AK140" s="203">
        <f t="shared" si="105"/>
        <v>1.8</v>
      </c>
      <c r="AL140" s="203"/>
      <c r="AM140" s="204"/>
      <c r="AN140" s="203"/>
      <c r="AO140" s="272">
        <f t="shared" si="95"/>
        <v>0</v>
      </c>
      <c r="AP140" s="272">
        <f t="shared" si="96"/>
        <v>0</v>
      </c>
    </row>
    <row r="141" spans="2:42" s="208" customFormat="1" ht="13.5" hidden="1" thickBot="1">
      <c r="B141" s="199" t="s">
        <v>963</v>
      </c>
      <c r="C141" s="199" t="s">
        <v>947</v>
      </c>
      <c r="D141" s="199" t="s">
        <v>964</v>
      </c>
      <c r="E141" s="199" t="s">
        <v>965</v>
      </c>
      <c r="F141" s="263"/>
      <c r="G141" s="201"/>
      <c r="H141" s="197" t="str">
        <f t="shared" si="90"/>
        <v>T</v>
      </c>
      <c r="I141" s="198" t="s">
        <v>950</v>
      </c>
      <c r="J141" s="241" t="s">
        <v>542</v>
      </c>
      <c r="K141" s="291">
        <v>1</v>
      </c>
      <c r="L141" s="200">
        <v>100</v>
      </c>
      <c r="M141" s="291">
        <v>1</v>
      </c>
      <c r="N141" s="199" t="s">
        <v>64</v>
      </c>
      <c r="O141" s="292" t="s">
        <v>400</v>
      </c>
      <c r="P141" s="212" t="s">
        <v>61</v>
      </c>
      <c r="Q141" s="293">
        <v>2110</v>
      </c>
      <c r="R141" s="199">
        <v>660020</v>
      </c>
      <c r="S141" s="199"/>
      <c r="T141" s="201"/>
      <c r="U141" s="200">
        <f t="shared" si="97"/>
        <v>1</v>
      </c>
      <c r="V141" s="264">
        <v>3600</v>
      </c>
      <c r="W141" s="200">
        <f t="shared" si="98"/>
        <v>3600</v>
      </c>
      <c r="X141" s="202">
        <f t="shared" si="94"/>
        <v>17989.360733085501</v>
      </c>
      <c r="Y141" s="200">
        <f t="shared" si="99"/>
        <v>21589.360733085501</v>
      </c>
      <c r="Z141" s="203">
        <f t="shared" si="100"/>
        <v>223.2</v>
      </c>
      <c r="AA141" s="203">
        <f t="shared" si="101"/>
        <v>85.8</v>
      </c>
      <c r="AB141" s="203">
        <f t="shared" si="102"/>
        <v>16188</v>
      </c>
      <c r="AC141" s="203">
        <f t="shared" si="89"/>
        <v>1296.6719330855017</v>
      </c>
      <c r="AD141" s="203"/>
      <c r="AE141" s="203">
        <f t="shared" si="87"/>
        <v>70.56</v>
      </c>
      <c r="AF141" s="203"/>
      <c r="AG141" s="203">
        <f t="shared" si="103"/>
        <v>52.2</v>
      </c>
      <c r="AH141" s="203">
        <f t="shared" si="104"/>
        <v>35.488800000000005</v>
      </c>
      <c r="AI141" s="203"/>
      <c r="AJ141" s="204">
        <f t="shared" si="88"/>
        <v>35.64</v>
      </c>
      <c r="AK141" s="203">
        <f t="shared" si="105"/>
        <v>1.8</v>
      </c>
      <c r="AL141" s="203"/>
      <c r="AM141" s="204"/>
      <c r="AN141" s="203"/>
      <c r="AO141" s="272">
        <f t="shared" si="95"/>
        <v>0</v>
      </c>
      <c r="AP141" s="272">
        <f t="shared" si="96"/>
        <v>0</v>
      </c>
    </row>
    <row r="142" spans="2:42" s="208" customFormat="1" ht="13.5" hidden="1" thickBot="1">
      <c r="B142" s="199" t="s">
        <v>966</v>
      </c>
      <c r="C142" s="199" t="s">
        <v>947</v>
      </c>
      <c r="D142" s="199"/>
      <c r="E142" s="199" t="s">
        <v>967</v>
      </c>
      <c r="F142" s="263"/>
      <c r="G142" s="201"/>
      <c r="H142" s="197" t="str">
        <f t="shared" si="90"/>
        <v>T</v>
      </c>
      <c r="I142" s="198" t="s">
        <v>950</v>
      </c>
      <c r="J142" s="241" t="s">
        <v>542</v>
      </c>
      <c r="K142" s="291">
        <v>1</v>
      </c>
      <c r="L142" s="200">
        <v>100</v>
      </c>
      <c r="M142" s="291">
        <v>1</v>
      </c>
      <c r="N142" s="199" t="s">
        <v>64</v>
      </c>
      <c r="O142" s="292" t="s">
        <v>400</v>
      </c>
      <c r="P142" s="212" t="s">
        <v>61</v>
      </c>
      <c r="Q142" s="293">
        <v>2110</v>
      </c>
      <c r="R142" s="199">
        <v>660020</v>
      </c>
      <c r="S142" s="199"/>
      <c r="T142" s="201"/>
      <c r="U142" s="200">
        <f t="shared" si="97"/>
        <v>1</v>
      </c>
      <c r="V142" s="264">
        <v>3600</v>
      </c>
      <c r="W142" s="200">
        <f t="shared" si="98"/>
        <v>3600</v>
      </c>
      <c r="X142" s="202">
        <f t="shared" si="94"/>
        <v>17989.360733085501</v>
      </c>
      <c r="Y142" s="200">
        <f t="shared" si="99"/>
        <v>21589.360733085501</v>
      </c>
      <c r="Z142" s="203">
        <f t="shared" si="100"/>
        <v>223.2</v>
      </c>
      <c r="AA142" s="203">
        <f t="shared" si="101"/>
        <v>85.8</v>
      </c>
      <c r="AB142" s="203">
        <f t="shared" si="102"/>
        <v>16188</v>
      </c>
      <c r="AC142" s="203">
        <f t="shared" si="89"/>
        <v>1296.6719330855017</v>
      </c>
      <c r="AD142" s="203"/>
      <c r="AE142" s="203">
        <f t="shared" si="87"/>
        <v>70.56</v>
      </c>
      <c r="AF142" s="203"/>
      <c r="AG142" s="203">
        <f t="shared" si="103"/>
        <v>52.2</v>
      </c>
      <c r="AH142" s="203">
        <f t="shared" si="104"/>
        <v>35.488800000000005</v>
      </c>
      <c r="AI142" s="203"/>
      <c r="AJ142" s="204">
        <f t="shared" si="88"/>
        <v>35.64</v>
      </c>
      <c r="AK142" s="203">
        <f t="shared" si="105"/>
        <v>1.8</v>
      </c>
      <c r="AL142" s="203"/>
      <c r="AM142" s="204"/>
      <c r="AN142" s="203"/>
      <c r="AO142" s="272">
        <f t="shared" si="95"/>
        <v>0</v>
      </c>
      <c r="AP142" s="272">
        <f t="shared" si="96"/>
        <v>0</v>
      </c>
    </row>
    <row r="143" spans="2:42" s="208" customFormat="1" ht="13.5" hidden="1" thickBot="1">
      <c r="B143" s="199" t="s">
        <v>968</v>
      </c>
      <c r="C143" s="199" t="s">
        <v>969</v>
      </c>
      <c r="D143" s="201"/>
      <c r="E143" s="201"/>
      <c r="F143" s="201"/>
      <c r="G143" s="201"/>
      <c r="H143" s="197" t="str">
        <f t="shared" si="90"/>
        <v>C</v>
      </c>
      <c r="I143" s="199" t="s">
        <v>937</v>
      </c>
      <c r="J143" s="199" t="s">
        <v>542</v>
      </c>
      <c r="K143" s="200">
        <v>0</v>
      </c>
      <c r="L143" s="201"/>
      <c r="M143" s="201"/>
      <c r="N143" s="199" t="s">
        <v>64</v>
      </c>
      <c r="O143" s="199" t="s">
        <v>292</v>
      </c>
      <c r="P143" s="212" t="s">
        <v>55</v>
      </c>
      <c r="Q143" s="199" t="s">
        <v>74</v>
      </c>
      <c r="R143" s="199" t="s">
        <v>233</v>
      </c>
      <c r="S143" s="199" t="s">
        <v>194</v>
      </c>
      <c r="T143" s="201"/>
      <c r="U143" s="200">
        <v>0</v>
      </c>
      <c r="V143" s="200"/>
      <c r="W143" s="200">
        <f t="shared" si="98"/>
        <v>0</v>
      </c>
      <c r="X143" s="202">
        <f t="shared" si="94"/>
        <v>0</v>
      </c>
      <c r="Y143" s="200">
        <f t="shared" si="99"/>
        <v>0</v>
      </c>
      <c r="Z143" s="203"/>
      <c r="AA143" s="203"/>
      <c r="AB143" s="203"/>
      <c r="AC143" s="203">
        <f t="shared" si="89"/>
        <v>0</v>
      </c>
      <c r="AD143" s="203"/>
      <c r="AE143" s="203">
        <f t="shared" si="87"/>
        <v>0</v>
      </c>
      <c r="AF143" s="203"/>
      <c r="AG143" s="203">
        <f t="shared" si="103"/>
        <v>0</v>
      </c>
      <c r="AH143" s="203">
        <f t="shared" si="104"/>
        <v>0</v>
      </c>
      <c r="AI143" s="203"/>
      <c r="AJ143" s="204">
        <f t="shared" si="88"/>
        <v>0</v>
      </c>
      <c r="AK143" s="203">
        <f t="shared" si="105"/>
        <v>0</v>
      </c>
      <c r="AL143" s="203"/>
      <c r="AM143" s="204">
        <f t="shared" ref="AM143:AM175" si="106">SUM(IF(V143&gt;132900,((132900*$AM$4)*U143),(IF(V143&lt;132900,($AM$4*(W143))))))</f>
        <v>0</v>
      </c>
      <c r="AN143" s="203">
        <f t="shared" ref="AN143:AN175" si="107">+W143*$AN$4</f>
        <v>0</v>
      </c>
      <c r="AO143" s="272">
        <f t="shared" si="95"/>
        <v>0</v>
      </c>
      <c r="AP143" s="272">
        <f t="shared" si="96"/>
        <v>0</v>
      </c>
    </row>
    <row r="144" spans="2:42" ht="13.5" hidden="1" thickBot="1">
      <c r="B144" s="199" t="s">
        <v>970</v>
      </c>
      <c r="C144" s="199" t="s">
        <v>971</v>
      </c>
      <c r="D144" s="201"/>
      <c r="E144" s="201"/>
      <c r="F144" s="201"/>
      <c r="G144" s="201"/>
      <c r="H144" s="197" t="str">
        <f t="shared" si="90"/>
        <v>C</v>
      </c>
      <c r="I144" s="199" t="s">
        <v>937</v>
      </c>
      <c r="J144" s="199" t="s">
        <v>542</v>
      </c>
      <c r="K144" s="200">
        <v>1</v>
      </c>
      <c r="L144" s="201"/>
      <c r="M144" s="201"/>
      <c r="N144" s="199" t="s">
        <v>64</v>
      </c>
      <c r="O144" s="199" t="s">
        <v>302</v>
      </c>
      <c r="P144" s="212" t="s">
        <v>55</v>
      </c>
      <c r="Q144" s="199" t="s">
        <v>74</v>
      </c>
      <c r="R144" s="199" t="s">
        <v>233</v>
      </c>
      <c r="S144" s="201"/>
      <c r="T144" s="201"/>
      <c r="U144" s="200">
        <v>0</v>
      </c>
      <c r="V144" s="200"/>
      <c r="W144" s="200">
        <f t="shared" si="98"/>
        <v>0</v>
      </c>
      <c r="X144" s="202">
        <f t="shared" si="94"/>
        <v>0</v>
      </c>
      <c r="Y144" s="200">
        <f t="shared" si="99"/>
        <v>0</v>
      </c>
      <c r="Z144" s="203"/>
      <c r="AA144" s="203"/>
      <c r="AB144" s="203"/>
      <c r="AC144" s="203">
        <f t="shared" si="89"/>
        <v>0</v>
      </c>
      <c r="AD144" s="203"/>
      <c r="AE144" s="203">
        <f t="shared" si="87"/>
        <v>0</v>
      </c>
      <c r="AF144" s="203"/>
      <c r="AG144" s="203">
        <f t="shared" si="103"/>
        <v>0</v>
      </c>
      <c r="AH144" s="203">
        <f t="shared" si="104"/>
        <v>0</v>
      </c>
      <c r="AI144" s="203"/>
      <c r="AJ144" s="204">
        <f t="shared" si="88"/>
        <v>0</v>
      </c>
      <c r="AK144" s="203">
        <f t="shared" si="105"/>
        <v>0</v>
      </c>
      <c r="AL144" s="203"/>
      <c r="AM144" s="204">
        <f t="shared" si="106"/>
        <v>0</v>
      </c>
      <c r="AN144" s="203">
        <f t="shared" si="107"/>
        <v>0</v>
      </c>
      <c r="AO144" s="217">
        <f t="shared" si="95"/>
        <v>0</v>
      </c>
      <c r="AP144" s="217">
        <f t="shared" si="96"/>
        <v>0</v>
      </c>
    </row>
    <row r="145" spans="2:42" ht="13.5" hidden="1" thickBot="1">
      <c r="B145" s="198" t="s">
        <v>972</v>
      </c>
      <c r="C145" s="198" t="s">
        <v>645</v>
      </c>
      <c r="D145" s="198" t="s">
        <v>973</v>
      </c>
      <c r="E145" s="198" t="s">
        <v>974</v>
      </c>
      <c r="F145" s="198" t="s">
        <v>757</v>
      </c>
      <c r="G145" s="197">
        <v>14</v>
      </c>
      <c r="H145" s="197" t="str">
        <f t="shared" si="90"/>
        <v>C</v>
      </c>
      <c r="I145" s="198" t="s">
        <v>541</v>
      </c>
      <c r="J145" s="198" t="s">
        <v>542</v>
      </c>
      <c r="K145" s="197">
        <v>1</v>
      </c>
      <c r="L145" s="197">
        <v>100</v>
      </c>
      <c r="M145" s="197">
        <v>1</v>
      </c>
      <c r="N145" s="198" t="s">
        <v>975</v>
      </c>
      <c r="O145" s="198" t="s">
        <v>976</v>
      </c>
      <c r="P145" s="212" t="s">
        <v>977</v>
      </c>
      <c r="Q145" s="198" t="s">
        <v>544</v>
      </c>
      <c r="R145" s="198" t="s">
        <v>978</v>
      </c>
      <c r="S145" s="205"/>
      <c r="T145" s="205"/>
      <c r="U145" s="197">
        <v>0.2</v>
      </c>
      <c r="V145" s="296">
        <v>80317.726800000004</v>
      </c>
      <c r="W145" s="296">
        <f t="shared" si="98"/>
        <v>16063.545360000002</v>
      </c>
      <c r="X145" s="206">
        <f t="shared" si="94"/>
        <v>9094.122731351983</v>
      </c>
      <c r="Y145" s="197">
        <f t="shared" si="99"/>
        <v>25157.668091351985</v>
      </c>
      <c r="Z145" s="207">
        <f t="shared" ref="Z145:Z175" si="108">+$Z$4*U145</f>
        <v>44.64</v>
      </c>
      <c r="AA145" s="207">
        <f t="shared" ref="AA145:AA175" si="109">+$AA$4*U145</f>
        <v>17.16</v>
      </c>
      <c r="AB145" s="207">
        <f t="shared" ref="AB145:AB175" si="110">+$AB$4*U145</f>
        <v>3237.6000000000004</v>
      </c>
      <c r="AC145" s="207">
        <f t="shared" si="89"/>
        <v>259.33438661710034</v>
      </c>
      <c r="AD145" s="207"/>
      <c r="AE145" s="207">
        <f t="shared" si="87"/>
        <v>314.84548905600002</v>
      </c>
      <c r="AF145" s="207"/>
      <c r="AG145" s="207">
        <f t="shared" si="103"/>
        <v>232.92140772000005</v>
      </c>
      <c r="AH145" s="207">
        <f t="shared" si="104"/>
        <v>158.35443015888004</v>
      </c>
      <c r="AI145" s="207"/>
      <c r="AJ145" s="204">
        <f t="shared" si="88"/>
        <v>130.68000000000004</v>
      </c>
      <c r="AK145" s="207">
        <f t="shared" si="105"/>
        <v>8.0317726800000013</v>
      </c>
      <c r="AL145" s="207"/>
      <c r="AM145" s="204">
        <f t="shared" si="106"/>
        <v>995.9398123200001</v>
      </c>
      <c r="AN145" s="207">
        <f t="shared" si="107"/>
        <v>3694.6154328000007</v>
      </c>
      <c r="AO145" s="217">
        <f t="shared" si="95"/>
        <v>391.79378926829122</v>
      </c>
      <c r="AP145" s="217">
        <f t="shared" si="96"/>
        <v>0</v>
      </c>
    </row>
    <row r="146" spans="2:42" ht="13.5" hidden="1" thickBot="1">
      <c r="B146" s="198" t="s">
        <v>979</v>
      </c>
      <c r="C146" s="198" t="s">
        <v>447</v>
      </c>
      <c r="D146" s="198" t="s">
        <v>980</v>
      </c>
      <c r="E146" s="198" t="s">
        <v>981</v>
      </c>
      <c r="F146" s="198" t="s">
        <v>590</v>
      </c>
      <c r="G146" s="197">
        <v>14</v>
      </c>
      <c r="H146" s="197" t="str">
        <f t="shared" si="90"/>
        <v>C</v>
      </c>
      <c r="I146" s="198" t="s">
        <v>541</v>
      </c>
      <c r="J146" s="198" t="s">
        <v>542</v>
      </c>
      <c r="K146" s="197">
        <v>1</v>
      </c>
      <c r="L146" s="197">
        <v>100</v>
      </c>
      <c r="M146" s="197">
        <v>1</v>
      </c>
      <c r="N146" s="198" t="s">
        <v>975</v>
      </c>
      <c r="O146" s="198" t="s">
        <v>976</v>
      </c>
      <c r="P146" s="212" t="s">
        <v>977</v>
      </c>
      <c r="Q146" s="198" t="s">
        <v>544</v>
      </c>
      <c r="R146" s="198" t="s">
        <v>978</v>
      </c>
      <c r="S146" s="205"/>
      <c r="T146" s="205"/>
      <c r="U146" s="197">
        <v>0.2</v>
      </c>
      <c r="V146" s="296">
        <v>72763.838900000032</v>
      </c>
      <c r="W146" s="296">
        <f t="shared" si="98"/>
        <v>14552.767780000007</v>
      </c>
      <c r="X146" s="206">
        <f t="shared" si="94"/>
        <v>8585.8095283403436</v>
      </c>
      <c r="Y146" s="197">
        <f t="shared" si="99"/>
        <v>23138.577308340351</v>
      </c>
      <c r="Z146" s="207">
        <f t="shared" si="108"/>
        <v>44.64</v>
      </c>
      <c r="AA146" s="207">
        <f t="shared" si="109"/>
        <v>17.16</v>
      </c>
      <c r="AB146" s="207">
        <f t="shared" si="110"/>
        <v>3237.6000000000004</v>
      </c>
      <c r="AC146" s="207">
        <f t="shared" si="89"/>
        <v>259.33438661710034</v>
      </c>
      <c r="AD146" s="207"/>
      <c r="AE146" s="207">
        <f t="shared" si="87"/>
        <v>285.23424848800016</v>
      </c>
      <c r="AF146" s="207"/>
      <c r="AG146" s="207">
        <f t="shared" si="103"/>
        <v>211.01513281000013</v>
      </c>
      <c r="AH146" s="207">
        <f t="shared" si="104"/>
        <v>143.46118477524007</v>
      </c>
      <c r="AI146" s="207"/>
      <c r="AJ146" s="204">
        <f t="shared" si="88"/>
        <v>130.68000000000004</v>
      </c>
      <c r="AK146" s="207">
        <f t="shared" si="105"/>
        <v>7.2763838900000035</v>
      </c>
      <c r="AL146" s="207"/>
      <c r="AM146" s="204">
        <f t="shared" si="106"/>
        <v>902.27160236000043</v>
      </c>
      <c r="AN146" s="207">
        <f t="shared" si="107"/>
        <v>3347.1365894000019</v>
      </c>
      <c r="AO146" s="217">
        <f t="shared" si="95"/>
        <v>354.94555560975459</v>
      </c>
      <c r="AP146" s="217">
        <f t="shared" si="96"/>
        <v>0</v>
      </c>
    </row>
    <row r="147" spans="2:42" ht="13.5" hidden="1" thickBot="1">
      <c r="B147" s="198" t="s">
        <v>982</v>
      </c>
      <c r="C147" s="198" t="s">
        <v>983</v>
      </c>
      <c r="D147" s="198" t="s">
        <v>984</v>
      </c>
      <c r="E147" s="198" t="s">
        <v>985</v>
      </c>
      <c r="F147" s="198" t="s">
        <v>565</v>
      </c>
      <c r="G147" s="197">
        <v>12</v>
      </c>
      <c r="H147" s="197" t="str">
        <f t="shared" si="90"/>
        <v>M</v>
      </c>
      <c r="I147" s="198" t="s">
        <v>559</v>
      </c>
      <c r="J147" s="198" t="s">
        <v>542</v>
      </c>
      <c r="K147" s="197">
        <v>1</v>
      </c>
      <c r="L147" s="197">
        <v>100</v>
      </c>
      <c r="M147" s="197">
        <v>1</v>
      </c>
      <c r="N147" s="198" t="s">
        <v>975</v>
      </c>
      <c r="O147" s="198" t="s">
        <v>976</v>
      </c>
      <c r="P147" s="212" t="s">
        <v>977</v>
      </c>
      <c r="Q147" s="198" t="s">
        <v>560</v>
      </c>
      <c r="R147" s="198" t="s">
        <v>978</v>
      </c>
      <c r="S147" s="205"/>
      <c r="T147" s="205"/>
      <c r="U147" s="197">
        <v>0.2</v>
      </c>
      <c r="V147" s="296">
        <v>117770.98</v>
      </c>
      <c r="W147" s="296">
        <f t="shared" si="98"/>
        <v>23554.196</v>
      </c>
      <c r="X147" s="206">
        <f t="shared" si="94"/>
        <v>11614.412064385102</v>
      </c>
      <c r="Y147" s="197">
        <f t="shared" si="99"/>
        <v>35168.608064385102</v>
      </c>
      <c r="Z147" s="207">
        <f t="shared" si="108"/>
        <v>44.64</v>
      </c>
      <c r="AA147" s="207">
        <f t="shared" si="109"/>
        <v>17.16</v>
      </c>
      <c r="AB147" s="207">
        <f t="shared" si="110"/>
        <v>3237.6000000000004</v>
      </c>
      <c r="AC147" s="207">
        <f t="shared" si="89"/>
        <v>259.33438661710034</v>
      </c>
      <c r="AD147" s="207"/>
      <c r="AE147" s="207">
        <f t="shared" si="87"/>
        <v>461.66224159999996</v>
      </c>
      <c r="AF147" s="207"/>
      <c r="AG147" s="207">
        <f t="shared" si="103"/>
        <v>341.535842</v>
      </c>
      <c r="AH147" s="207">
        <f t="shared" si="104"/>
        <v>232.197264168</v>
      </c>
      <c r="AI147" s="207"/>
      <c r="AJ147" s="204">
        <f t="shared" si="88"/>
        <v>130.68000000000004</v>
      </c>
      <c r="AK147" s="207">
        <f t="shared" si="105"/>
        <v>11.777098000000001</v>
      </c>
      <c r="AL147" s="207"/>
      <c r="AM147" s="204">
        <f t="shared" si="106"/>
        <v>1460.360152</v>
      </c>
      <c r="AN147" s="207">
        <f t="shared" si="107"/>
        <v>5417.4650799999999</v>
      </c>
      <c r="AO147" s="217">
        <f t="shared" si="95"/>
        <v>0</v>
      </c>
      <c r="AP147" s="217">
        <f t="shared" si="96"/>
        <v>574.4925853658533</v>
      </c>
    </row>
    <row r="148" spans="2:42" ht="13.5" hidden="1" thickBot="1">
      <c r="B148" s="198" t="s">
        <v>986</v>
      </c>
      <c r="C148" s="198" t="s">
        <v>983</v>
      </c>
      <c r="D148" s="198" t="s">
        <v>987</v>
      </c>
      <c r="E148" s="198" t="s">
        <v>988</v>
      </c>
      <c r="F148" s="198" t="s">
        <v>565</v>
      </c>
      <c r="G148" s="197">
        <v>12</v>
      </c>
      <c r="H148" s="197" t="str">
        <f t="shared" si="90"/>
        <v>M</v>
      </c>
      <c r="I148" s="198" t="s">
        <v>559</v>
      </c>
      <c r="J148" s="198" t="s">
        <v>542</v>
      </c>
      <c r="K148" s="197">
        <v>1</v>
      </c>
      <c r="L148" s="197">
        <v>100</v>
      </c>
      <c r="M148" s="197">
        <v>1</v>
      </c>
      <c r="N148" s="198" t="s">
        <v>975</v>
      </c>
      <c r="O148" s="198" t="s">
        <v>976</v>
      </c>
      <c r="P148" s="212" t="s">
        <v>977</v>
      </c>
      <c r="Q148" s="198" t="s">
        <v>560</v>
      </c>
      <c r="R148" s="198" t="s">
        <v>989</v>
      </c>
      <c r="S148" s="205"/>
      <c r="T148" s="205"/>
      <c r="U148" s="197">
        <v>0.2</v>
      </c>
      <c r="V148" s="296">
        <v>117770.98</v>
      </c>
      <c r="W148" s="296">
        <f t="shared" si="98"/>
        <v>23554.196</v>
      </c>
      <c r="X148" s="206">
        <f t="shared" si="94"/>
        <v>11614.412064385102</v>
      </c>
      <c r="Y148" s="197">
        <f t="shared" si="99"/>
        <v>35168.608064385102</v>
      </c>
      <c r="Z148" s="207">
        <f t="shared" si="108"/>
        <v>44.64</v>
      </c>
      <c r="AA148" s="207">
        <f t="shared" si="109"/>
        <v>17.16</v>
      </c>
      <c r="AB148" s="207">
        <f t="shared" si="110"/>
        <v>3237.6000000000004</v>
      </c>
      <c r="AC148" s="207">
        <f t="shared" si="89"/>
        <v>259.33438661710034</v>
      </c>
      <c r="AD148" s="207"/>
      <c r="AE148" s="207">
        <f t="shared" si="87"/>
        <v>461.66224159999996</v>
      </c>
      <c r="AF148" s="207"/>
      <c r="AG148" s="207">
        <f t="shared" si="103"/>
        <v>341.535842</v>
      </c>
      <c r="AH148" s="207">
        <f t="shared" si="104"/>
        <v>232.197264168</v>
      </c>
      <c r="AI148" s="207"/>
      <c r="AJ148" s="204">
        <f t="shared" si="88"/>
        <v>130.68000000000004</v>
      </c>
      <c r="AK148" s="207">
        <f t="shared" si="105"/>
        <v>11.777098000000001</v>
      </c>
      <c r="AL148" s="207"/>
      <c r="AM148" s="204">
        <f t="shared" si="106"/>
        <v>1460.360152</v>
      </c>
      <c r="AN148" s="207">
        <f t="shared" si="107"/>
        <v>5417.4650799999999</v>
      </c>
      <c r="AO148" s="217">
        <f t="shared" si="95"/>
        <v>0</v>
      </c>
      <c r="AP148" s="217">
        <f t="shared" si="96"/>
        <v>574.4925853658533</v>
      </c>
    </row>
    <row r="149" spans="2:42" s="208" customFormat="1" ht="13.5" hidden="1" thickBot="1">
      <c r="B149" s="198" t="s">
        <v>990</v>
      </c>
      <c r="C149" s="198" t="s">
        <v>983</v>
      </c>
      <c r="D149" s="198" t="s">
        <v>991</v>
      </c>
      <c r="E149" s="198" t="s">
        <v>992</v>
      </c>
      <c r="F149" s="198" t="s">
        <v>565</v>
      </c>
      <c r="G149" s="197">
        <v>12</v>
      </c>
      <c r="H149" s="197" t="str">
        <f t="shared" si="90"/>
        <v>M</v>
      </c>
      <c r="I149" s="198" t="s">
        <v>559</v>
      </c>
      <c r="J149" s="198" t="s">
        <v>542</v>
      </c>
      <c r="K149" s="197">
        <v>1</v>
      </c>
      <c r="L149" s="197">
        <v>100</v>
      </c>
      <c r="M149" s="197">
        <v>1</v>
      </c>
      <c r="N149" s="198" t="s">
        <v>975</v>
      </c>
      <c r="O149" s="198" t="s">
        <v>976</v>
      </c>
      <c r="P149" s="212" t="s">
        <v>977</v>
      </c>
      <c r="Q149" s="198" t="s">
        <v>560</v>
      </c>
      <c r="R149" s="198" t="s">
        <v>978</v>
      </c>
      <c r="S149" s="205"/>
      <c r="T149" s="205"/>
      <c r="U149" s="197">
        <v>0.2</v>
      </c>
      <c r="V149" s="296">
        <v>120715.25</v>
      </c>
      <c r="W149" s="296">
        <f t="shared" si="98"/>
        <v>24143.050000000003</v>
      </c>
      <c r="X149" s="206">
        <f t="shared" si="94"/>
        <v>11812.536703517104</v>
      </c>
      <c r="Y149" s="197">
        <f t="shared" si="99"/>
        <v>35955.58670351711</v>
      </c>
      <c r="Z149" s="207">
        <f t="shared" si="108"/>
        <v>44.64</v>
      </c>
      <c r="AA149" s="207">
        <f t="shared" si="109"/>
        <v>17.16</v>
      </c>
      <c r="AB149" s="207">
        <f t="shared" si="110"/>
        <v>3237.6000000000004</v>
      </c>
      <c r="AC149" s="207">
        <f t="shared" si="89"/>
        <v>259.33438661710034</v>
      </c>
      <c r="AD149" s="207"/>
      <c r="AE149" s="207">
        <f t="shared" si="87"/>
        <v>473.20378000000005</v>
      </c>
      <c r="AF149" s="207"/>
      <c r="AG149" s="207">
        <f t="shared" si="103"/>
        <v>350.07422500000007</v>
      </c>
      <c r="AH149" s="207">
        <f t="shared" si="104"/>
        <v>238.00218690000003</v>
      </c>
      <c r="AI149" s="207"/>
      <c r="AJ149" s="204">
        <f t="shared" si="88"/>
        <v>130.68000000000004</v>
      </c>
      <c r="AK149" s="207">
        <f t="shared" si="105"/>
        <v>12.071525000000001</v>
      </c>
      <c r="AL149" s="207"/>
      <c r="AM149" s="204">
        <f t="shared" si="106"/>
        <v>1496.8691000000001</v>
      </c>
      <c r="AN149" s="207">
        <f t="shared" si="107"/>
        <v>5552.9015000000009</v>
      </c>
      <c r="AO149" s="272">
        <f t="shared" si="95"/>
        <v>0</v>
      </c>
      <c r="AP149" s="272">
        <f t="shared" si="96"/>
        <v>588.85487804877994</v>
      </c>
    </row>
    <row r="150" spans="2:42" s="208" customFormat="1" ht="13.5" hidden="1" thickBot="1">
      <c r="B150" s="198" t="s">
        <v>993</v>
      </c>
      <c r="C150" s="198" t="s">
        <v>994</v>
      </c>
      <c r="D150" s="198" t="s">
        <v>995</v>
      </c>
      <c r="E150" s="198" t="s">
        <v>996</v>
      </c>
      <c r="F150" s="198" t="s">
        <v>839</v>
      </c>
      <c r="G150" s="197">
        <v>12</v>
      </c>
      <c r="H150" s="197" t="str">
        <f t="shared" si="90"/>
        <v>M</v>
      </c>
      <c r="I150" s="198" t="s">
        <v>559</v>
      </c>
      <c r="J150" s="198" t="s">
        <v>542</v>
      </c>
      <c r="K150" s="197">
        <v>1</v>
      </c>
      <c r="L150" s="197">
        <v>100</v>
      </c>
      <c r="M150" s="197">
        <v>1</v>
      </c>
      <c r="N150" s="198" t="s">
        <v>975</v>
      </c>
      <c r="O150" s="198" t="s">
        <v>976</v>
      </c>
      <c r="P150" s="212" t="s">
        <v>977</v>
      </c>
      <c r="Q150" s="198" t="s">
        <v>560</v>
      </c>
      <c r="R150" s="198" t="s">
        <v>978</v>
      </c>
      <c r="S150" s="205"/>
      <c r="T150" s="205"/>
      <c r="U150" s="197">
        <v>0.2</v>
      </c>
      <c r="V150" s="296">
        <v>172538.91</v>
      </c>
      <c r="W150" s="296">
        <f t="shared" si="98"/>
        <v>34507.781999999999</v>
      </c>
      <c r="X150" s="206">
        <f t="shared" si="94"/>
        <v>14808.311218773102</v>
      </c>
      <c r="Y150" s="197">
        <f t="shared" si="99"/>
        <v>49316.093218773101</v>
      </c>
      <c r="Z150" s="207">
        <f t="shared" si="108"/>
        <v>44.64</v>
      </c>
      <c r="AA150" s="207">
        <f t="shared" si="109"/>
        <v>17.16</v>
      </c>
      <c r="AB150" s="207">
        <f t="shared" si="110"/>
        <v>3237.6000000000004</v>
      </c>
      <c r="AC150" s="207">
        <f t="shared" si="89"/>
        <v>259.33438661710034</v>
      </c>
      <c r="AD150" s="207"/>
      <c r="AE150" s="207">
        <f t="shared" ref="AE150:AE175" si="111">+W150*$AE$4</f>
        <v>676.35252719999994</v>
      </c>
      <c r="AF150" s="207"/>
      <c r="AG150" s="207">
        <f t="shared" si="103"/>
        <v>500.36283900000001</v>
      </c>
      <c r="AH150" s="207">
        <f t="shared" si="104"/>
        <v>340.17771495599999</v>
      </c>
      <c r="AI150" s="207"/>
      <c r="AJ150" s="204">
        <f t="shared" ref="AJ150:AJ175" si="112">SUM(IF(V150&gt;65999,((66000*$AJ$4)*U150),(IF(V150&lt;66000,($AJ$4*(W150))))))</f>
        <v>130.68000000000004</v>
      </c>
      <c r="AK150" s="207">
        <f t="shared" si="105"/>
        <v>17.253890999999999</v>
      </c>
      <c r="AL150" s="207"/>
      <c r="AM150" s="204">
        <f t="shared" si="106"/>
        <v>1647.96</v>
      </c>
      <c r="AN150" s="207">
        <f t="shared" si="107"/>
        <v>7936.7898599999999</v>
      </c>
      <c r="AO150" s="272">
        <f t="shared" si="95"/>
        <v>0</v>
      </c>
      <c r="AP150" s="272">
        <f t="shared" si="96"/>
        <v>841.65321951219084</v>
      </c>
    </row>
    <row r="151" spans="2:42" ht="13.5" hidden="1" thickBot="1">
      <c r="B151" s="198" t="s">
        <v>997</v>
      </c>
      <c r="C151" s="198" t="s">
        <v>983</v>
      </c>
      <c r="D151" s="198" t="s">
        <v>998</v>
      </c>
      <c r="E151" s="198" t="s">
        <v>999</v>
      </c>
      <c r="F151" s="198" t="s">
        <v>565</v>
      </c>
      <c r="G151" s="197">
        <v>8</v>
      </c>
      <c r="H151" s="197" t="str">
        <f t="shared" si="90"/>
        <v>M</v>
      </c>
      <c r="I151" s="198" t="s">
        <v>559</v>
      </c>
      <c r="J151" s="198" t="s">
        <v>542</v>
      </c>
      <c r="K151" s="197">
        <v>1</v>
      </c>
      <c r="L151" s="197">
        <v>100</v>
      </c>
      <c r="M151" s="197">
        <v>1</v>
      </c>
      <c r="N151" s="198" t="s">
        <v>975</v>
      </c>
      <c r="O151" s="198" t="s">
        <v>976</v>
      </c>
      <c r="P151" s="212" t="s">
        <v>977</v>
      </c>
      <c r="Q151" s="198" t="s">
        <v>560</v>
      </c>
      <c r="R151" s="198" t="s">
        <v>978</v>
      </c>
      <c r="S151" s="205"/>
      <c r="T151" s="205"/>
      <c r="U151" s="197">
        <v>0.2</v>
      </c>
      <c r="V151" s="197">
        <v>106694.69</v>
      </c>
      <c r="W151" s="197">
        <f t="shared" si="98"/>
        <v>21338.938000000002</v>
      </c>
      <c r="X151" s="206">
        <f t="shared" si="94"/>
        <v>10869.070788221103</v>
      </c>
      <c r="Y151" s="197">
        <f t="shared" si="99"/>
        <v>32208.008788221105</v>
      </c>
      <c r="Z151" s="207">
        <f t="shared" si="108"/>
        <v>44.64</v>
      </c>
      <c r="AA151" s="207">
        <f t="shared" si="109"/>
        <v>17.16</v>
      </c>
      <c r="AB151" s="207">
        <f t="shared" si="110"/>
        <v>3237.6000000000004</v>
      </c>
      <c r="AC151" s="207">
        <f t="shared" ref="AC151:AC175" si="113">+$AC$4*U151</f>
        <v>259.33438661710034</v>
      </c>
      <c r="AD151" s="207"/>
      <c r="AE151" s="207">
        <f t="shared" si="111"/>
        <v>418.24318480000005</v>
      </c>
      <c r="AF151" s="207"/>
      <c r="AG151" s="207">
        <f t="shared" si="103"/>
        <v>309.41460100000006</v>
      </c>
      <c r="AH151" s="207">
        <f t="shared" si="104"/>
        <v>210.35925080400003</v>
      </c>
      <c r="AI151" s="207"/>
      <c r="AJ151" s="204">
        <f t="shared" si="112"/>
        <v>130.68000000000004</v>
      </c>
      <c r="AK151" s="207">
        <f t="shared" si="105"/>
        <v>10.669469000000001</v>
      </c>
      <c r="AL151" s="207"/>
      <c r="AM151" s="204">
        <f t="shared" si="106"/>
        <v>1323.0141560000002</v>
      </c>
      <c r="AN151" s="207">
        <f t="shared" si="107"/>
        <v>4907.9557400000003</v>
      </c>
      <c r="AO151" s="217">
        <f t="shared" si="95"/>
        <v>0</v>
      </c>
      <c r="AP151" s="217">
        <f t="shared" si="96"/>
        <v>520.46190243902311</v>
      </c>
    </row>
    <row r="152" spans="2:42" s="208" customFormat="1" ht="13.5" hidden="1" thickBot="1">
      <c r="B152" s="198" t="s">
        <v>972</v>
      </c>
      <c r="C152" s="198" t="s">
        <v>645</v>
      </c>
      <c r="D152" s="198" t="s">
        <v>973</v>
      </c>
      <c r="E152" s="198" t="s">
        <v>974</v>
      </c>
      <c r="F152" s="198" t="s">
        <v>757</v>
      </c>
      <c r="G152" s="197">
        <v>14</v>
      </c>
      <c r="H152" s="197" t="str">
        <f t="shared" si="90"/>
        <v>C</v>
      </c>
      <c r="I152" s="198" t="s">
        <v>541</v>
      </c>
      <c r="J152" s="198" t="s">
        <v>542</v>
      </c>
      <c r="K152" s="197">
        <v>1</v>
      </c>
      <c r="L152" s="197">
        <v>100</v>
      </c>
      <c r="M152" s="197">
        <v>1</v>
      </c>
      <c r="N152" s="198" t="s">
        <v>1000</v>
      </c>
      <c r="O152" s="198" t="s">
        <v>976</v>
      </c>
      <c r="P152" s="212" t="s">
        <v>977</v>
      </c>
      <c r="Q152" s="198" t="s">
        <v>544</v>
      </c>
      <c r="R152" s="198" t="s">
        <v>978</v>
      </c>
      <c r="S152" s="205"/>
      <c r="T152" s="205"/>
      <c r="U152" s="197">
        <v>0.8</v>
      </c>
      <c r="V152" s="296">
        <v>80317.726800000004</v>
      </c>
      <c r="W152" s="296">
        <f t="shared" si="98"/>
        <v>64254.181440000008</v>
      </c>
      <c r="X152" s="206">
        <f t="shared" si="94"/>
        <v>36376.490925407932</v>
      </c>
      <c r="Y152" s="197">
        <f t="shared" si="99"/>
        <v>100630.67236540794</v>
      </c>
      <c r="Z152" s="207">
        <f t="shared" si="108"/>
        <v>178.56</v>
      </c>
      <c r="AA152" s="207">
        <f t="shared" si="109"/>
        <v>68.64</v>
      </c>
      <c r="AB152" s="207">
        <f t="shared" si="110"/>
        <v>12950.400000000001</v>
      </c>
      <c r="AC152" s="207">
        <f t="shared" si="113"/>
        <v>1037.3375464684013</v>
      </c>
      <c r="AD152" s="207"/>
      <c r="AE152" s="207">
        <f t="shared" si="111"/>
        <v>1259.3819562240001</v>
      </c>
      <c r="AF152" s="207"/>
      <c r="AG152" s="207">
        <f t="shared" si="103"/>
        <v>931.68563088000019</v>
      </c>
      <c r="AH152" s="207">
        <f t="shared" si="104"/>
        <v>633.41772063552014</v>
      </c>
      <c r="AI152" s="207"/>
      <c r="AJ152" s="204">
        <f t="shared" si="112"/>
        <v>522.72000000000014</v>
      </c>
      <c r="AK152" s="207">
        <f t="shared" si="105"/>
        <v>32.127090720000005</v>
      </c>
      <c r="AL152" s="207"/>
      <c r="AM152" s="204">
        <f t="shared" si="106"/>
        <v>3983.7592492800004</v>
      </c>
      <c r="AN152" s="207">
        <f t="shared" si="107"/>
        <v>14778.461731200003</v>
      </c>
      <c r="AO152" s="272">
        <f t="shared" si="95"/>
        <v>1567.1751570731649</v>
      </c>
      <c r="AP152" s="272">
        <f t="shared" si="96"/>
        <v>0</v>
      </c>
    </row>
    <row r="153" spans="2:42" s="208" customFormat="1" ht="13.5" hidden="1" thickBot="1">
      <c r="B153" s="198" t="s">
        <v>979</v>
      </c>
      <c r="C153" s="198" t="s">
        <v>447</v>
      </c>
      <c r="D153" s="198" t="s">
        <v>980</v>
      </c>
      <c r="E153" s="198" t="s">
        <v>981</v>
      </c>
      <c r="F153" s="198" t="s">
        <v>590</v>
      </c>
      <c r="G153" s="197">
        <v>14</v>
      </c>
      <c r="H153" s="197" t="str">
        <f t="shared" si="90"/>
        <v>C</v>
      </c>
      <c r="I153" s="198" t="s">
        <v>541</v>
      </c>
      <c r="J153" s="198" t="s">
        <v>542</v>
      </c>
      <c r="K153" s="197">
        <v>1</v>
      </c>
      <c r="L153" s="197">
        <v>100</v>
      </c>
      <c r="M153" s="197">
        <v>1</v>
      </c>
      <c r="N153" s="198" t="s">
        <v>1000</v>
      </c>
      <c r="O153" s="198" t="s">
        <v>976</v>
      </c>
      <c r="P153" s="212" t="s">
        <v>977</v>
      </c>
      <c r="Q153" s="198" t="s">
        <v>544</v>
      </c>
      <c r="R153" s="198" t="s">
        <v>978</v>
      </c>
      <c r="S153" s="205"/>
      <c r="T153" s="205"/>
      <c r="U153" s="197">
        <v>0.8</v>
      </c>
      <c r="V153" s="296">
        <v>72763.838900000032</v>
      </c>
      <c r="W153" s="296">
        <f t="shared" si="98"/>
        <v>58211.07112000003</v>
      </c>
      <c r="X153" s="206">
        <f t="shared" si="94"/>
        <v>34343.238113361374</v>
      </c>
      <c r="Y153" s="197">
        <f t="shared" si="99"/>
        <v>92554.309233361404</v>
      </c>
      <c r="Z153" s="207">
        <f t="shared" si="108"/>
        <v>178.56</v>
      </c>
      <c r="AA153" s="207">
        <f t="shared" si="109"/>
        <v>68.64</v>
      </c>
      <c r="AB153" s="207">
        <f t="shared" si="110"/>
        <v>12950.400000000001</v>
      </c>
      <c r="AC153" s="207">
        <f t="shared" si="113"/>
        <v>1037.3375464684013</v>
      </c>
      <c r="AD153" s="207"/>
      <c r="AE153" s="207">
        <f t="shared" si="111"/>
        <v>1140.9369939520006</v>
      </c>
      <c r="AF153" s="207"/>
      <c r="AG153" s="207">
        <f t="shared" si="103"/>
        <v>844.0605312400005</v>
      </c>
      <c r="AH153" s="207">
        <f t="shared" si="104"/>
        <v>573.84473910096028</v>
      </c>
      <c r="AI153" s="207"/>
      <c r="AJ153" s="204">
        <f t="shared" si="112"/>
        <v>522.72000000000014</v>
      </c>
      <c r="AK153" s="207">
        <f t="shared" si="105"/>
        <v>29.105535560000014</v>
      </c>
      <c r="AL153" s="207"/>
      <c r="AM153" s="204">
        <f t="shared" si="106"/>
        <v>3609.0864094400017</v>
      </c>
      <c r="AN153" s="207">
        <f t="shared" si="107"/>
        <v>13388.546357600007</v>
      </c>
      <c r="AO153" s="272">
        <f t="shared" si="95"/>
        <v>1419.7822224390184</v>
      </c>
      <c r="AP153" s="272">
        <f t="shared" si="96"/>
        <v>0</v>
      </c>
    </row>
    <row r="154" spans="2:42" s="208" customFormat="1" ht="13.5" hidden="1" thickBot="1">
      <c r="B154" s="198" t="s">
        <v>982</v>
      </c>
      <c r="C154" s="198" t="s">
        <v>983</v>
      </c>
      <c r="D154" s="198" t="s">
        <v>984</v>
      </c>
      <c r="E154" s="198" t="s">
        <v>985</v>
      </c>
      <c r="F154" s="198" t="s">
        <v>565</v>
      </c>
      <c r="G154" s="197">
        <v>12</v>
      </c>
      <c r="H154" s="197" t="str">
        <f t="shared" si="90"/>
        <v>M</v>
      </c>
      <c r="I154" s="198" t="s">
        <v>559</v>
      </c>
      <c r="J154" s="198" t="s">
        <v>542</v>
      </c>
      <c r="K154" s="197">
        <v>1</v>
      </c>
      <c r="L154" s="197">
        <v>100</v>
      </c>
      <c r="M154" s="197">
        <v>1</v>
      </c>
      <c r="N154" s="198" t="s">
        <v>1000</v>
      </c>
      <c r="O154" s="198" t="s">
        <v>976</v>
      </c>
      <c r="P154" s="212" t="s">
        <v>977</v>
      </c>
      <c r="Q154" s="198" t="s">
        <v>560</v>
      </c>
      <c r="R154" s="198" t="s">
        <v>978</v>
      </c>
      <c r="S154" s="205"/>
      <c r="T154" s="205"/>
      <c r="U154" s="197">
        <v>0.8</v>
      </c>
      <c r="V154" s="296">
        <v>117770.98</v>
      </c>
      <c r="W154" s="296">
        <f t="shared" si="98"/>
        <v>94216.784</v>
      </c>
      <c r="X154" s="206">
        <f t="shared" si="94"/>
        <v>46457.648257540408</v>
      </c>
      <c r="Y154" s="197">
        <f t="shared" si="99"/>
        <v>140674.43225754041</v>
      </c>
      <c r="Z154" s="207">
        <f t="shared" si="108"/>
        <v>178.56</v>
      </c>
      <c r="AA154" s="207">
        <f t="shared" si="109"/>
        <v>68.64</v>
      </c>
      <c r="AB154" s="207">
        <f t="shared" si="110"/>
        <v>12950.400000000001</v>
      </c>
      <c r="AC154" s="207">
        <f t="shared" si="113"/>
        <v>1037.3375464684013</v>
      </c>
      <c r="AD154" s="207"/>
      <c r="AE154" s="207">
        <f t="shared" si="111"/>
        <v>1846.6489663999998</v>
      </c>
      <c r="AF154" s="207"/>
      <c r="AG154" s="207">
        <f t="shared" si="103"/>
        <v>1366.143368</v>
      </c>
      <c r="AH154" s="207">
        <f t="shared" si="104"/>
        <v>928.78905667200002</v>
      </c>
      <c r="AI154" s="207"/>
      <c r="AJ154" s="204">
        <f t="shared" si="112"/>
        <v>522.72000000000014</v>
      </c>
      <c r="AK154" s="207">
        <f t="shared" si="105"/>
        <v>47.108392000000002</v>
      </c>
      <c r="AL154" s="207"/>
      <c r="AM154" s="204">
        <f t="shared" si="106"/>
        <v>5841.4406079999999</v>
      </c>
      <c r="AN154" s="207">
        <f t="shared" si="107"/>
        <v>21669.86032</v>
      </c>
      <c r="AO154" s="272">
        <f t="shared" si="95"/>
        <v>0</v>
      </c>
      <c r="AP154" s="272">
        <f t="shared" si="96"/>
        <v>2297.9703414634132</v>
      </c>
    </row>
    <row r="155" spans="2:42" s="208" customFormat="1" ht="13.5" hidden="1" thickBot="1">
      <c r="B155" s="198" t="s">
        <v>986</v>
      </c>
      <c r="C155" s="198" t="s">
        <v>983</v>
      </c>
      <c r="D155" s="198" t="s">
        <v>987</v>
      </c>
      <c r="E155" s="198" t="s">
        <v>988</v>
      </c>
      <c r="F155" s="198" t="s">
        <v>565</v>
      </c>
      <c r="G155" s="197">
        <v>12</v>
      </c>
      <c r="H155" s="197" t="str">
        <f t="shared" si="90"/>
        <v>M</v>
      </c>
      <c r="I155" s="198" t="s">
        <v>559</v>
      </c>
      <c r="J155" s="198" t="s">
        <v>542</v>
      </c>
      <c r="K155" s="197">
        <v>1</v>
      </c>
      <c r="L155" s="197">
        <v>100</v>
      </c>
      <c r="M155" s="197">
        <v>1</v>
      </c>
      <c r="N155" s="198" t="s">
        <v>1000</v>
      </c>
      <c r="O155" s="198" t="s">
        <v>976</v>
      </c>
      <c r="P155" s="212" t="s">
        <v>977</v>
      </c>
      <c r="Q155" s="198" t="s">
        <v>560</v>
      </c>
      <c r="R155" s="198" t="s">
        <v>989</v>
      </c>
      <c r="S155" s="205"/>
      <c r="T155" s="205"/>
      <c r="U155" s="197">
        <v>0.8</v>
      </c>
      <c r="V155" s="296">
        <v>117770.98</v>
      </c>
      <c r="W155" s="296">
        <f t="shared" si="98"/>
        <v>94216.784</v>
      </c>
      <c r="X155" s="206">
        <f t="shared" si="94"/>
        <v>46457.648257540408</v>
      </c>
      <c r="Y155" s="197">
        <f t="shared" si="99"/>
        <v>140674.43225754041</v>
      </c>
      <c r="Z155" s="207">
        <f t="shared" si="108"/>
        <v>178.56</v>
      </c>
      <c r="AA155" s="207">
        <f t="shared" si="109"/>
        <v>68.64</v>
      </c>
      <c r="AB155" s="207">
        <f t="shared" si="110"/>
        <v>12950.400000000001</v>
      </c>
      <c r="AC155" s="207">
        <f t="shared" si="113"/>
        <v>1037.3375464684013</v>
      </c>
      <c r="AD155" s="207"/>
      <c r="AE155" s="207">
        <f t="shared" si="111"/>
        <v>1846.6489663999998</v>
      </c>
      <c r="AF155" s="207"/>
      <c r="AG155" s="207">
        <f t="shared" si="103"/>
        <v>1366.143368</v>
      </c>
      <c r="AH155" s="207">
        <f t="shared" si="104"/>
        <v>928.78905667200002</v>
      </c>
      <c r="AI155" s="207"/>
      <c r="AJ155" s="204">
        <f t="shared" si="112"/>
        <v>522.72000000000014</v>
      </c>
      <c r="AK155" s="207">
        <f t="shared" si="105"/>
        <v>47.108392000000002</v>
      </c>
      <c r="AL155" s="207"/>
      <c r="AM155" s="204">
        <f t="shared" si="106"/>
        <v>5841.4406079999999</v>
      </c>
      <c r="AN155" s="207">
        <f t="shared" si="107"/>
        <v>21669.86032</v>
      </c>
      <c r="AO155" s="272">
        <f t="shared" si="95"/>
        <v>0</v>
      </c>
      <c r="AP155" s="272">
        <f t="shared" si="96"/>
        <v>2297.9703414634132</v>
      </c>
    </row>
    <row r="156" spans="2:42" s="208" customFormat="1" ht="13.5" hidden="1" thickBot="1">
      <c r="B156" s="198" t="s">
        <v>990</v>
      </c>
      <c r="C156" s="198" t="s">
        <v>983</v>
      </c>
      <c r="D156" s="198" t="s">
        <v>991</v>
      </c>
      <c r="E156" s="198" t="s">
        <v>992</v>
      </c>
      <c r="F156" s="198" t="s">
        <v>565</v>
      </c>
      <c r="G156" s="197">
        <v>12</v>
      </c>
      <c r="H156" s="197" t="str">
        <f t="shared" si="90"/>
        <v>M</v>
      </c>
      <c r="I156" s="198" t="s">
        <v>559</v>
      </c>
      <c r="J156" s="198" t="s">
        <v>542</v>
      </c>
      <c r="K156" s="197">
        <v>1</v>
      </c>
      <c r="L156" s="197">
        <v>100</v>
      </c>
      <c r="M156" s="197">
        <v>1</v>
      </c>
      <c r="N156" s="198" t="s">
        <v>1000</v>
      </c>
      <c r="O156" s="198" t="s">
        <v>976</v>
      </c>
      <c r="P156" s="212" t="s">
        <v>977</v>
      </c>
      <c r="Q156" s="198" t="s">
        <v>560</v>
      </c>
      <c r="R156" s="198" t="s">
        <v>978</v>
      </c>
      <c r="S156" s="205"/>
      <c r="T156" s="205"/>
      <c r="U156" s="197">
        <v>0.8</v>
      </c>
      <c r="V156" s="296">
        <v>120715.25</v>
      </c>
      <c r="W156" s="296">
        <f t="shared" si="98"/>
        <v>96572.200000000012</v>
      </c>
      <c r="X156" s="206">
        <f t="shared" si="94"/>
        <v>47250.146814068416</v>
      </c>
      <c r="Y156" s="197">
        <f t="shared" si="99"/>
        <v>143822.34681406844</v>
      </c>
      <c r="Z156" s="207">
        <f t="shared" si="108"/>
        <v>178.56</v>
      </c>
      <c r="AA156" s="207">
        <f t="shared" si="109"/>
        <v>68.64</v>
      </c>
      <c r="AB156" s="207">
        <f t="shared" si="110"/>
        <v>12950.400000000001</v>
      </c>
      <c r="AC156" s="207">
        <f t="shared" si="113"/>
        <v>1037.3375464684013</v>
      </c>
      <c r="AD156" s="207"/>
      <c r="AE156" s="207">
        <f t="shared" si="111"/>
        <v>1892.8151200000002</v>
      </c>
      <c r="AF156" s="207"/>
      <c r="AG156" s="207">
        <f t="shared" si="103"/>
        <v>1400.2969000000003</v>
      </c>
      <c r="AH156" s="207">
        <f t="shared" si="104"/>
        <v>952.00874760000011</v>
      </c>
      <c r="AI156" s="207"/>
      <c r="AJ156" s="204">
        <f t="shared" si="112"/>
        <v>522.72000000000014</v>
      </c>
      <c r="AK156" s="207">
        <f t="shared" si="105"/>
        <v>48.286100000000005</v>
      </c>
      <c r="AL156" s="207"/>
      <c r="AM156" s="204">
        <f t="shared" si="106"/>
        <v>5987.4764000000005</v>
      </c>
      <c r="AN156" s="207">
        <f t="shared" si="107"/>
        <v>22211.606000000003</v>
      </c>
      <c r="AO156" s="272">
        <f t="shared" si="95"/>
        <v>0</v>
      </c>
      <c r="AP156" s="272">
        <f t="shared" si="96"/>
        <v>2355.4195121951198</v>
      </c>
    </row>
    <row r="157" spans="2:42" ht="13.5" hidden="1" thickBot="1">
      <c r="B157" s="198" t="s">
        <v>993</v>
      </c>
      <c r="C157" s="198" t="s">
        <v>994</v>
      </c>
      <c r="D157" s="198" t="s">
        <v>995</v>
      </c>
      <c r="E157" s="198" t="s">
        <v>996</v>
      </c>
      <c r="F157" s="198" t="s">
        <v>839</v>
      </c>
      <c r="G157" s="197">
        <v>12</v>
      </c>
      <c r="H157" s="197" t="str">
        <f t="shared" ref="H157:H182" si="114">LEFT(I157,1)</f>
        <v>M</v>
      </c>
      <c r="I157" s="198" t="s">
        <v>559</v>
      </c>
      <c r="J157" s="198" t="s">
        <v>542</v>
      </c>
      <c r="K157" s="197">
        <v>1</v>
      </c>
      <c r="L157" s="197">
        <v>100</v>
      </c>
      <c r="M157" s="197">
        <v>1</v>
      </c>
      <c r="N157" s="198" t="s">
        <v>1000</v>
      </c>
      <c r="O157" s="198" t="s">
        <v>976</v>
      </c>
      <c r="P157" s="212" t="s">
        <v>977</v>
      </c>
      <c r="Q157" s="198" t="s">
        <v>560</v>
      </c>
      <c r="R157" s="198" t="s">
        <v>978</v>
      </c>
      <c r="S157" s="205"/>
      <c r="T157" s="205"/>
      <c r="U157" s="197">
        <v>0.8</v>
      </c>
      <c r="V157" s="296">
        <v>172538.91</v>
      </c>
      <c r="W157" s="296">
        <f t="shared" si="98"/>
        <v>138031.128</v>
      </c>
      <c r="X157" s="206">
        <f t="shared" si="94"/>
        <v>59233.244875092409</v>
      </c>
      <c r="Y157" s="197">
        <f t="shared" si="99"/>
        <v>197264.37287509241</v>
      </c>
      <c r="Z157" s="207">
        <f t="shared" si="108"/>
        <v>178.56</v>
      </c>
      <c r="AA157" s="207">
        <f t="shared" si="109"/>
        <v>68.64</v>
      </c>
      <c r="AB157" s="207">
        <f t="shared" si="110"/>
        <v>12950.400000000001</v>
      </c>
      <c r="AC157" s="207">
        <f t="shared" si="113"/>
        <v>1037.3375464684013</v>
      </c>
      <c r="AD157" s="207"/>
      <c r="AE157" s="207">
        <f t="shared" si="111"/>
        <v>2705.4101087999998</v>
      </c>
      <c r="AF157" s="207"/>
      <c r="AG157" s="207">
        <f t="shared" si="103"/>
        <v>2001.451356</v>
      </c>
      <c r="AH157" s="207">
        <f t="shared" si="104"/>
        <v>1360.710859824</v>
      </c>
      <c r="AI157" s="207"/>
      <c r="AJ157" s="204">
        <f t="shared" si="112"/>
        <v>522.72000000000014</v>
      </c>
      <c r="AK157" s="207">
        <f t="shared" si="105"/>
        <v>69.015563999999998</v>
      </c>
      <c r="AL157" s="207"/>
      <c r="AM157" s="204">
        <f t="shared" si="106"/>
        <v>6591.84</v>
      </c>
      <c r="AN157" s="207">
        <f t="shared" si="107"/>
        <v>31747.159439999999</v>
      </c>
      <c r="AO157" s="217">
        <f t="shared" si="95"/>
        <v>0</v>
      </c>
      <c r="AP157" s="217">
        <f t="shared" si="96"/>
        <v>3366.6128780487634</v>
      </c>
    </row>
    <row r="158" spans="2:42" ht="13.5" hidden="1" thickBot="1">
      <c r="B158" s="198" t="s">
        <v>997</v>
      </c>
      <c r="C158" s="198" t="s">
        <v>983</v>
      </c>
      <c r="D158" s="198" t="s">
        <v>998</v>
      </c>
      <c r="E158" s="198" t="s">
        <v>999</v>
      </c>
      <c r="F158" s="198" t="s">
        <v>565</v>
      </c>
      <c r="G158" s="197">
        <v>8</v>
      </c>
      <c r="H158" s="197" t="str">
        <f t="shared" si="114"/>
        <v>M</v>
      </c>
      <c r="I158" s="198" t="s">
        <v>559</v>
      </c>
      <c r="J158" s="198" t="s">
        <v>542</v>
      </c>
      <c r="K158" s="197">
        <v>1</v>
      </c>
      <c r="L158" s="197">
        <v>100</v>
      </c>
      <c r="M158" s="197">
        <v>1</v>
      </c>
      <c r="N158" s="198" t="s">
        <v>1000</v>
      </c>
      <c r="O158" s="198" t="s">
        <v>976</v>
      </c>
      <c r="P158" s="212" t="s">
        <v>977</v>
      </c>
      <c r="Q158" s="198" t="s">
        <v>560</v>
      </c>
      <c r="R158" s="198" t="s">
        <v>978</v>
      </c>
      <c r="S158" s="205"/>
      <c r="T158" s="205"/>
      <c r="U158" s="197">
        <v>0.8</v>
      </c>
      <c r="V158" s="197">
        <v>106694.69</v>
      </c>
      <c r="W158" s="197">
        <f t="shared" si="98"/>
        <v>85355.752000000008</v>
      </c>
      <c r="X158" s="206">
        <f t="shared" si="94"/>
        <v>43476.283152884411</v>
      </c>
      <c r="Y158" s="197">
        <f t="shared" si="99"/>
        <v>128832.03515288442</v>
      </c>
      <c r="Z158" s="207">
        <f t="shared" si="108"/>
        <v>178.56</v>
      </c>
      <c r="AA158" s="207">
        <f t="shared" si="109"/>
        <v>68.64</v>
      </c>
      <c r="AB158" s="207">
        <f t="shared" si="110"/>
        <v>12950.400000000001</v>
      </c>
      <c r="AC158" s="207">
        <f t="shared" si="113"/>
        <v>1037.3375464684013</v>
      </c>
      <c r="AD158" s="207"/>
      <c r="AE158" s="207">
        <f t="shared" si="111"/>
        <v>1672.9727392000002</v>
      </c>
      <c r="AF158" s="207"/>
      <c r="AG158" s="207">
        <f t="shared" si="103"/>
        <v>1237.6584040000002</v>
      </c>
      <c r="AH158" s="207">
        <f t="shared" si="104"/>
        <v>841.43700321600011</v>
      </c>
      <c r="AI158" s="207"/>
      <c r="AJ158" s="204">
        <f t="shared" si="112"/>
        <v>522.72000000000014</v>
      </c>
      <c r="AK158" s="207">
        <f t="shared" si="105"/>
        <v>42.677876000000005</v>
      </c>
      <c r="AL158" s="207"/>
      <c r="AM158" s="204">
        <f t="shared" si="106"/>
        <v>5292.0566240000007</v>
      </c>
      <c r="AN158" s="207">
        <f t="shared" si="107"/>
        <v>19631.822960000001</v>
      </c>
      <c r="AO158" s="217">
        <f t="shared" si="95"/>
        <v>0</v>
      </c>
      <c r="AP158" s="217">
        <f t="shared" si="96"/>
        <v>2081.8476097560924</v>
      </c>
    </row>
    <row r="159" spans="2:42" ht="13.5" hidden="1" thickBot="1">
      <c r="B159" s="232" t="s">
        <v>549</v>
      </c>
      <c r="C159" s="232" t="s">
        <v>550</v>
      </c>
      <c r="D159" s="232" t="s">
        <v>551</v>
      </c>
      <c r="E159" s="232" t="s">
        <v>552</v>
      </c>
      <c r="F159" s="232" t="s">
        <v>553</v>
      </c>
      <c r="G159" s="243">
        <v>4</v>
      </c>
      <c r="H159" s="243" t="str">
        <f t="shared" si="114"/>
        <v>C</v>
      </c>
      <c r="I159" s="232" t="s">
        <v>541</v>
      </c>
      <c r="J159" s="232" t="s">
        <v>542</v>
      </c>
      <c r="K159" s="243">
        <v>1</v>
      </c>
      <c r="L159" s="243">
        <v>100</v>
      </c>
      <c r="M159" s="243">
        <v>1</v>
      </c>
      <c r="N159" s="232" t="s">
        <v>1001</v>
      </c>
      <c r="O159" s="232" t="s">
        <v>1002</v>
      </c>
      <c r="P159" s="212" t="s">
        <v>54</v>
      </c>
      <c r="Q159" s="232" t="s">
        <v>544</v>
      </c>
      <c r="R159" s="232" t="s">
        <v>211</v>
      </c>
      <c r="S159" s="244"/>
      <c r="T159" s="244"/>
      <c r="U159" s="243">
        <v>0.05</v>
      </c>
      <c r="V159" s="302">
        <v>51496.939899999954</v>
      </c>
      <c r="W159" s="302">
        <f t="shared" si="98"/>
        <v>2574.8469949999981</v>
      </c>
      <c r="X159" s="245">
        <f t="shared" si="94"/>
        <v>1781.5024521484843</v>
      </c>
      <c r="Y159" s="243">
        <f t="shared" si="99"/>
        <v>4356.3494471484828</v>
      </c>
      <c r="Z159" s="246">
        <f t="shared" si="108"/>
        <v>11.16</v>
      </c>
      <c r="AA159" s="246">
        <f t="shared" si="109"/>
        <v>4.29</v>
      </c>
      <c r="AB159" s="246">
        <f t="shared" si="110"/>
        <v>809.40000000000009</v>
      </c>
      <c r="AC159" s="246">
        <f t="shared" si="113"/>
        <v>64.833596654275084</v>
      </c>
      <c r="AD159" s="246"/>
      <c r="AE159" s="246">
        <f t="shared" si="111"/>
        <v>50.467001101999962</v>
      </c>
      <c r="AF159" s="246"/>
      <c r="AG159" s="246">
        <f t="shared" si="103"/>
        <v>37.335281427499972</v>
      </c>
      <c r="AH159" s="246">
        <f t="shared" si="104"/>
        <v>25.382841676709983</v>
      </c>
      <c r="AI159" s="246"/>
      <c r="AJ159" s="247">
        <f t="shared" si="112"/>
        <v>25.490985250499982</v>
      </c>
      <c r="AK159" s="246">
        <f t="shared" si="105"/>
        <v>1.287423497499999</v>
      </c>
      <c r="AL159" s="246"/>
      <c r="AM159" s="247">
        <f t="shared" si="106"/>
        <v>159.64051368999989</v>
      </c>
      <c r="AN159" s="246">
        <f t="shared" si="107"/>
        <v>592.2148088499996</v>
      </c>
      <c r="AO159" s="217">
        <f t="shared" si="95"/>
        <v>62.801146219511793</v>
      </c>
      <c r="AP159" s="217">
        <f t="shared" si="96"/>
        <v>0</v>
      </c>
    </row>
    <row r="160" spans="2:42" ht="13.5" hidden="1" thickBot="1">
      <c r="B160" s="209" t="s">
        <v>554</v>
      </c>
      <c r="C160" s="209" t="s">
        <v>555</v>
      </c>
      <c r="D160" s="209" t="s">
        <v>556</v>
      </c>
      <c r="E160" s="209" t="s">
        <v>557</v>
      </c>
      <c r="F160" s="209" t="s">
        <v>558</v>
      </c>
      <c r="G160" s="210">
        <v>12</v>
      </c>
      <c r="H160" s="211" t="str">
        <f t="shared" si="114"/>
        <v>M</v>
      </c>
      <c r="I160" s="209" t="s">
        <v>559</v>
      </c>
      <c r="J160" s="209" t="s">
        <v>542</v>
      </c>
      <c r="K160" s="210">
        <v>1</v>
      </c>
      <c r="L160" s="210">
        <v>100</v>
      </c>
      <c r="M160" s="210">
        <v>1</v>
      </c>
      <c r="N160" s="209" t="s">
        <v>1001</v>
      </c>
      <c r="O160" s="209" t="s">
        <v>1002</v>
      </c>
      <c r="P160" s="212" t="s">
        <v>54</v>
      </c>
      <c r="Q160" s="209" t="s">
        <v>560</v>
      </c>
      <c r="R160" s="209" t="s">
        <v>211</v>
      </c>
      <c r="S160" s="213"/>
      <c r="T160" s="213"/>
      <c r="U160" s="210">
        <v>7.4999999999999997E-2</v>
      </c>
      <c r="V160" s="297">
        <v>144210.15</v>
      </c>
      <c r="W160" s="297">
        <f t="shared" si="98"/>
        <v>10815.76125</v>
      </c>
      <c r="X160" s="214">
        <f t="shared" si="94"/>
        <v>4969.987596133913</v>
      </c>
      <c r="Y160" s="210">
        <f t="shared" si="99"/>
        <v>15785.748846133913</v>
      </c>
      <c r="Z160" s="215">
        <f t="shared" si="108"/>
        <v>16.739999999999998</v>
      </c>
      <c r="AA160" s="215">
        <f t="shared" si="109"/>
        <v>6.4349999999999996</v>
      </c>
      <c r="AB160" s="215">
        <f t="shared" si="110"/>
        <v>1214.0999999999999</v>
      </c>
      <c r="AC160" s="215">
        <f t="shared" si="113"/>
        <v>97.250394981412626</v>
      </c>
      <c r="AD160" s="215"/>
      <c r="AE160" s="215">
        <f t="shared" si="111"/>
        <v>211.98892049999998</v>
      </c>
      <c r="AF160" s="215"/>
      <c r="AG160" s="215">
        <f t="shared" si="103"/>
        <v>156.82853812499999</v>
      </c>
      <c r="AH160" s="215">
        <f t="shared" si="104"/>
        <v>106.62177440249999</v>
      </c>
      <c r="AI160" s="215"/>
      <c r="AJ160" s="216">
        <f t="shared" si="112"/>
        <v>49.005000000000003</v>
      </c>
      <c r="AK160" s="215">
        <f t="shared" si="105"/>
        <v>5.4078806249999998</v>
      </c>
      <c r="AL160" s="215"/>
      <c r="AM160" s="216">
        <f t="shared" si="106"/>
        <v>617.9849999999999</v>
      </c>
      <c r="AN160" s="215">
        <f t="shared" si="107"/>
        <v>2487.6250875000001</v>
      </c>
      <c r="AO160" s="217">
        <f t="shared" si="95"/>
        <v>0</v>
      </c>
      <c r="AP160" s="217">
        <f t="shared" si="96"/>
        <v>263.79905487804717</v>
      </c>
    </row>
    <row r="161" spans="2:42" ht="13.5" hidden="1" thickBot="1">
      <c r="B161" s="232" t="s">
        <v>549</v>
      </c>
      <c r="C161" s="232" t="s">
        <v>550</v>
      </c>
      <c r="D161" s="232" t="s">
        <v>551</v>
      </c>
      <c r="E161" s="232" t="s">
        <v>552</v>
      </c>
      <c r="F161" s="232" t="s">
        <v>553</v>
      </c>
      <c r="G161" s="243">
        <v>4</v>
      </c>
      <c r="H161" s="243" t="str">
        <f t="shared" si="114"/>
        <v>C</v>
      </c>
      <c r="I161" s="232" t="s">
        <v>541</v>
      </c>
      <c r="J161" s="232" t="s">
        <v>542</v>
      </c>
      <c r="K161" s="243">
        <v>1</v>
      </c>
      <c r="L161" s="243">
        <v>100</v>
      </c>
      <c r="M161" s="243">
        <v>1</v>
      </c>
      <c r="N161" s="232" t="s">
        <v>1003</v>
      </c>
      <c r="O161" s="232" t="s">
        <v>1004</v>
      </c>
      <c r="P161" s="212" t="s">
        <v>54</v>
      </c>
      <c r="Q161" s="232" t="s">
        <v>544</v>
      </c>
      <c r="R161" s="232" t="s">
        <v>211</v>
      </c>
      <c r="S161" s="244"/>
      <c r="T161" s="244"/>
      <c r="U161" s="243">
        <v>0.05</v>
      </c>
      <c r="V161" s="302">
        <v>51496.939899999954</v>
      </c>
      <c r="W161" s="302">
        <f t="shared" si="98"/>
        <v>2574.8469949999981</v>
      </c>
      <c r="X161" s="245">
        <f t="shared" si="94"/>
        <v>1781.5024521484843</v>
      </c>
      <c r="Y161" s="243">
        <f t="shared" si="99"/>
        <v>4356.3494471484828</v>
      </c>
      <c r="Z161" s="246">
        <f t="shared" si="108"/>
        <v>11.16</v>
      </c>
      <c r="AA161" s="246">
        <f t="shared" si="109"/>
        <v>4.29</v>
      </c>
      <c r="AB161" s="246">
        <f t="shared" si="110"/>
        <v>809.40000000000009</v>
      </c>
      <c r="AC161" s="246">
        <f t="shared" si="113"/>
        <v>64.833596654275084</v>
      </c>
      <c r="AD161" s="246"/>
      <c r="AE161" s="246">
        <f t="shared" si="111"/>
        <v>50.467001101999962</v>
      </c>
      <c r="AF161" s="246"/>
      <c r="AG161" s="246">
        <f t="shared" si="103"/>
        <v>37.335281427499972</v>
      </c>
      <c r="AH161" s="246">
        <f t="shared" si="104"/>
        <v>25.382841676709983</v>
      </c>
      <c r="AI161" s="246"/>
      <c r="AJ161" s="247">
        <f t="shared" si="112"/>
        <v>25.490985250499982</v>
      </c>
      <c r="AK161" s="246">
        <f t="shared" si="105"/>
        <v>1.287423497499999</v>
      </c>
      <c r="AL161" s="246"/>
      <c r="AM161" s="247">
        <f t="shared" si="106"/>
        <v>159.64051368999989</v>
      </c>
      <c r="AN161" s="246">
        <f t="shared" si="107"/>
        <v>592.2148088499996</v>
      </c>
      <c r="AO161" s="217">
        <f t="shared" si="95"/>
        <v>62.801146219511793</v>
      </c>
      <c r="AP161" s="217">
        <f t="shared" si="96"/>
        <v>0</v>
      </c>
    </row>
    <row r="162" spans="2:42" ht="13.5" hidden="1" thickBot="1">
      <c r="B162" s="209" t="s">
        <v>554</v>
      </c>
      <c r="C162" s="209" t="s">
        <v>555</v>
      </c>
      <c r="D162" s="209" t="s">
        <v>556</v>
      </c>
      <c r="E162" s="209" t="s">
        <v>557</v>
      </c>
      <c r="F162" s="209" t="s">
        <v>558</v>
      </c>
      <c r="G162" s="210">
        <v>12</v>
      </c>
      <c r="H162" s="211" t="str">
        <f t="shared" si="114"/>
        <v>M</v>
      </c>
      <c r="I162" s="209" t="s">
        <v>559</v>
      </c>
      <c r="J162" s="209" t="s">
        <v>542</v>
      </c>
      <c r="K162" s="210">
        <v>1</v>
      </c>
      <c r="L162" s="210">
        <v>100</v>
      </c>
      <c r="M162" s="210">
        <v>1</v>
      </c>
      <c r="N162" s="209" t="s">
        <v>1003</v>
      </c>
      <c r="O162" s="209" t="s">
        <v>1004</v>
      </c>
      <c r="P162" s="212" t="s">
        <v>54</v>
      </c>
      <c r="Q162" s="209" t="s">
        <v>560</v>
      </c>
      <c r="R162" s="209" t="s">
        <v>211</v>
      </c>
      <c r="S162" s="213"/>
      <c r="T162" s="213"/>
      <c r="U162" s="210">
        <v>7.4999999999999997E-2</v>
      </c>
      <c r="V162" s="297">
        <v>144210.15</v>
      </c>
      <c r="W162" s="297">
        <f t="shared" si="98"/>
        <v>10815.76125</v>
      </c>
      <c r="X162" s="214">
        <f t="shared" si="94"/>
        <v>4969.987596133913</v>
      </c>
      <c r="Y162" s="210">
        <f t="shared" si="99"/>
        <v>15785.748846133913</v>
      </c>
      <c r="Z162" s="215">
        <f t="shared" si="108"/>
        <v>16.739999999999998</v>
      </c>
      <c r="AA162" s="215">
        <f t="shared" si="109"/>
        <v>6.4349999999999996</v>
      </c>
      <c r="AB162" s="215">
        <f t="shared" si="110"/>
        <v>1214.0999999999999</v>
      </c>
      <c r="AC162" s="215">
        <f t="shared" si="113"/>
        <v>97.250394981412626</v>
      </c>
      <c r="AD162" s="215"/>
      <c r="AE162" s="215">
        <f t="shared" si="111"/>
        <v>211.98892049999998</v>
      </c>
      <c r="AF162" s="215"/>
      <c r="AG162" s="215">
        <f t="shared" si="103"/>
        <v>156.82853812499999</v>
      </c>
      <c r="AH162" s="215">
        <f t="shared" si="104"/>
        <v>106.62177440249999</v>
      </c>
      <c r="AI162" s="215"/>
      <c r="AJ162" s="216">
        <f t="shared" si="112"/>
        <v>49.005000000000003</v>
      </c>
      <c r="AK162" s="215">
        <f t="shared" si="105"/>
        <v>5.4078806249999998</v>
      </c>
      <c r="AL162" s="215"/>
      <c r="AM162" s="216">
        <f t="shared" si="106"/>
        <v>617.9849999999999</v>
      </c>
      <c r="AN162" s="215">
        <f t="shared" si="107"/>
        <v>2487.6250875000001</v>
      </c>
      <c r="AO162" s="217">
        <f t="shared" si="95"/>
        <v>0</v>
      </c>
      <c r="AP162" s="217">
        <f t="shared" si="96"/>
        <v>263.79905487804717</v>
      </c>
    </row>
    <row r="163" spans="2:42" ht="13.5" hidden="1" thickBot="1">
      <c r="B163" s="198" t="s">
        <v>1005</v>
      </c>
      <c r="C163" s="198" t="s">
        <v>691</v>
      </c>
      <c r="D163" s="198" t="s">
        <v>1006</v>
      </c>
      <c r="E163" s="198" t="s">
        <v>1007</v>
      </c>
      <c r="F163" s="198" t="s">
        <v>694</v>
      </c>
      <c r="G163" s="197">
        <v>2</v>
      </c>
      <c r="H163" s="197" t="str">
        <f t="shared" si="114"/>
        <v>C</v>
      </c>
      <c r="I163" s="198" t="s">
        <v>541</v>
      </c>
      <c r="J163" s="198" t="s">
        <v>542</v>
      </c>
      <c r="K163" s="197">
        <v>1</v>
      </c>
      <c r="L163" s="197">
        <v>100</v>
      </c>
      <c r="M163" s="197">
        <v>1</v>
      </c>
      <c r="N163" s="198" t="s">
        <v>1008</v>
      </c>
      <c r="O163" s="198" t="s">
        <v>1009</v>
      </c>
      <c r="P163" s="212" t="s">
        <v>1010</v>
      </c>
      <c r="Q163" s="198" t="s">
        <v>544</v>
      </c>
      <c r="R163" s="198" t="s">
        <v>211</v>
      </c>
      <c r="S163" s="205" t="s">
        <v>1011</v>
      </c>
      <c r="T163" s="205"/>
      <c r="U163" s="197">
        <v>0.16500000000000001</v>
      </c>
      <c r="V163" s="296">
        <v>70989.161099999998</v>
      </c>
      <c r="W163" s="296">
        <f t="shared" si="98"/>
        <v>11713.2115815</v>
      </c>
      <c r="X163" s="206">
        <f t="shared" si="94"/>
        <v>6984.7706112474361</v>
      </c>
      <c r="Y163" s="197">
        <f t="shared" si="99"/>
        <v>18697.982192747437</v>
      </c>
      <c r="Z163" s="207">
        <f t="shared" si="108"/>
        <v>36.828000000000003</v>
      </c>
      <c r="AA163" s="207">
        <f t="shared" si="109"/>
        <v>14.157</v>
      </c>
      <c r="AB163" s="207">
        <f t="shared" si="110"/>
        <v>2671.02</v>
      </c>
      <c r="AC163" s="207">
        <f t="shared" si="113"/>
        <v>213.95086895910779</v>
      </c>
      <c r="AD163" s="207"/>
      <c r="AE163" s="207">
        <f t="shared" si="111"/>
        <v>229.57894699739998</v>
      </c>
      <c r="AF163" s="207"/>
      <c r="AG163" s="207">
        <f t="shared" si="103"/>
        <v>169.84156793175001</v>
      </c>
      <c r="AH163" s="207">
        <f t="shared" si="104"/>
        <v>115.468839770427</v>
      </c>
      <c r="AI163" s="207"/>
      <c r="AJ163" s="204">
        <f t="shared" si="112"/>
        <v>107.81100000000002</v>
      </c>
      <c r="AK163" s="207">
        <f t="shared" si="105"/>
        <v>5.8566057907499998</v>
      </c>
      <c r="AL163" s="207"/>
      <c r="AM163" s="204">
        <f t="shared" si="106"/>
        <v>726.21911805299999</v>
      </c>
      <c r="AN163" s="207">
        <f t="shared" si="107"/>
        <v>2694.0386637450001</v>
      </c>
      <c r="AO163" s="217">
        <f t="shared" si="95"/>
        <v>285.68808735365747</v>
      </c>
      <c r="AP163" s="217">
        <f t="shared" si="96"/>
        <v>0</v>
      </c>
    </row>
    <row r="164" spans="2:42" ht="13.5" hidden="1" thickBot="1">
      <c r="B164" s="198" t="s">
        <v>1005</v>
      </c>
      <c r="C164" s="198" t="s">
        <v>691</v>
      </c>
      <c r="D164" s="198" t="s">
        <v>1006</v>
      </c>
      <c r="E164" s="198" t="s">
        <v>1007</v>
      </c>
      <c r="F164" s="198" t="s">
        <v>694</v>
      </c>
      <c r="G164" s="197">
        <v>2</v>
      </c>
      <c r="H164" s="197" t="str">
        <f t="shared" si="114"/>
        <v>C</v>
      </c>
      <c r="I164" s="198" t="s">
        <v>541</v>
      </c>
      <c r="J164" s="198" t="s">
        <v>542</v>
      </c>
      <c r="K164" s="197">
        <v>1</v>
      </c>
      <c r="L164" s="197">
        <v>100</v>
      </c>
      <c r="M164" s="197">
        <v>1</v>
      </c>
      <c r="N164" s="198" t="s">
        <v>1008</v>
      </c>
      <c r="O164" s="198" t="s">
        <v>1012</v>
      </c>
      <c r="P164" s="212" t="s">
        <v>1013</v>
      </c>
      <c r="Q164" s="198" t="s">
        <v>544</v>
      </c>
      <c r="R164" s="198" t="s">
        <v>211</v>
      </c>
      <c r="S164" s="205" t="s">
        <v>1011</v>
      </c>
      <c r="T164" s="205"/>
      <c r="U164" s="197">
        <v>0.34</v>
      </c>
      <c r="V164" s="296">
        <v>70989.161099999998</v>
      </c>
      <c r="W164" s="296">
        <f t="shared" si="98"/>
        <v>24136.314774000002</v>
      </c>
      <c r="X164" s="206">
        <f t="shared" si="94"/>
        <v>14392.860653479564</v>
      </c>
      <c r="Y164" s="197">
        <f t="shared" si="99"/>
        <v>38529.175427479568</v>
      </c>
      <c r="Z164" s="207">
        <f t="shared" si="108"/>
        <v>75.888000000000005</v>
      </c>
      <c r="AA164" s="207">
        <f t="shared" si="109"/>
        <v>29.172000000000001</v>
      </c>
      <c r="AB164" s="207">
        <f t="shared" si="110"/>
        <v>5503.92</v>
      </c>
      <c r="AC164" s="207">
        <f t="shared" si="113"/>
        <v>440.86845724907062</v>
      </c>
      <c r="AD164" s="207"/>
      <c r="AE164" s="207">
        <f t="shared" si="111"/>
        <v>473.07176957040002</v>
      </c>
      <c r="AF164" s="207"/>
      <c r="AG164" s="207">
        <f t="shared" si="103"/>
        <v>349.97656422300003</v>
      </c>
      <c r="AH164" s="207">
        <f t="shared" si="104"/>
        <v>237.93579104209203</v>
      </c>
      <c r="AI164" s="207"/>
      <c r="AJ164" s="204">
        <f t="shared" si="112"/>
        <v>222.15600000000003</v>
      </c>
      <c r="AK164" s="207">
        <f t="shared" si="105"/>
        <v>12.068157387000001</v>
      </c>
      <c r="AL164" s="207"/>
      <c r="AM164" s="204">
        <f t="shared" si="106"/>
        <v>1496.4515159880002</v>
      </c>
      <c r="AN164" s="207">
        <f t="shared" si="107"/>
        <v>5551.3523980200007</v>
      </c>
      <c r="AO164" s="217">
        <f t="shared" si="95"/>
        <v>588.69060424390045</v>
      </c>
      <c r="AP164" s="217">
        <f t="shared" si="96"/>
        <v>0</v>
      </c>
    </row>
    <row r="165" spans="2:42" ht="13.5" hidden="1" thickBot="1">
      <c r="B165" s="198" t="s">
        <v>1005</v>
      </c>
      <c r="C165" s="198" t="s">
        <v>691</v>
      </c>
      <c r="D165" s="198" t="s">
        <v>1006</v>
      </c>
      <c r="E165" s="198" t="s">
        <v>1007</v>
      </c>
      <c r="F165" s="198" t="s">
        <v>694</v>
      </c>
      <c r="G165" s="197">
        <v>2</v>
      </c>
      <c r="H165" s="197" t="str">
        <f t="shared" si="114"/>
        <v>C</v>
      </c>
      <c r="I165" s="198" t="s">
        <v>541</v>
      </c>
      <c r="J165" s="198" t="s">
        <v>542</v>
      </c>
      <c r="K165" s="197">
        <v>1</v>
      </c>
      <c r="L165" s="197">
        <v>100</v>
      </c>
      <c r="M165" s="197">
        <v>1</v>
      </c>
      <c r="N165" s="198" t="s">
        <v>1008</v>
      </c>
      <c r="O165" s="198" t="s">
        <v>1014</v>
      </c>
      <c r="P165" s="212" t="s">
        <v>1015</v>
      </c>
      <c r="Q165" s="198" t="s">
        <v>544</v>
      </c>
      <c r="R165" s="198" t="s">
        <v>211</v>
      </c>
      <c r="S165" s="205" t="s">
        <v>1011</v>
      </c>
      <c r="T165" s="205" t="s">
        <v>203</v>
      </c>
      <c r="U165" s="197">
        <v>0.19469999999999998</v>
      </c>
      <c r="V165" s="296">
        <v>70989.161099999998</v>
      </c>
      <c r="W165" s="296">
        <f t="shared" si="98"/>
        <v>13821.589666169999</v>
      </c>
      <c r="X165" s="206">
        <f t="shared" ref="X165:X183" si="115">SUM(Z165:AN165)</f>
        <v>8242.0293212719735</v>
      </c>
      <c r="Y165" s="197">
        <f t="shared" si="99"/>
        <v>22063.618987441972</v>
      </c>
      <c r="Z165" s="207">
        <f t="shared" si="108"/>
        <v>43.457039999999992</v>
      </c>
      <c r="AA165" s="207">
        <f t="shared" si="109"/>
        <v>16.705259999999999</v>
      </c>
      <c r="AB165" s="207">
        <f t="shared" si="110"/>
        <v>3151.8035999999997</v>
      </c>
      <c r="AC165" s="207">
        <f t="shared" si="113"/>
        <v>252.46202537174716</v>
      </c>
      <c r="AD165" s="207"/>
      <c r="AE165" s="207">
        <f t="shared" si="111"/>
        <v>270.90315745693198</v>
      </c>
      <c r="AF165" s="207"/>
      <c r="AG165" s="207">
        <f t="shared" si="103"/>
        <v>200.413050159465</v>
      </c>
      <c r="AH165" s="207">
        <f t="shared" si="104"/>
        <v>136.25323092910386</v>
      </c>
      <c r="AI165" s="207"/>
      <c r="AJ165" s="204">
        <f t="shared" si="112"/>
        <v>127.21698000000001</v>
      </c>
      <c r="AK165" s="207">
        <f t="shared" si="105"/>
        <v>6.9107948330849993</v>
      </c>
      <c r="AL165" s="207"/>
      <c r="AM165" s="204">
        <f t="shared" si="106"/>
        <v>856.93855930253994</v>
      </c>
      <c r="AN165" s="207">
        <f t="shared" si="107"/>
        <v>3178.9656232191001</v>
      </c>
    </row>
    <row r="166" spans="2:42" ht="13.5" hidden="1" thickBot="1">
      <c r="B166" s="198" t="s">
        <v>1005</v>
      </c>
      <c r="C166" s="198" t="s">
        <v>691</v>
      </c>
      <c r="D166" s="198" t="s">
        <v>1006</v>
      </c>
      <c r="E166" s="198" t="s">
        <v>1007</v>
      </c>
      <c r="F166" s="198" t="s">
        <v>694</v>
      </c>
      <c r="G166" s="197">
        <v>2</v>
      </c>
      <c r="H166" s="197" t="str">
        <f t="shared" si="114"/>
        <v>C</v>
      </c>
      <c r="I166" s="198" t="s">
        <v>541</v>
      </c>
      <c r="J166" s="198" t="s">
        <v>542</v>
      </c>
      <c r="K166" s="197">
        <v>1</v>
      </c>
      <c r="L166" s="197">
        <v>100</v>
      </c>
      <c r="M166" s="197">
        <v>1</v>
      </c>
      <c r="N166" s="198" t="s">
        <v>1008</v>
      </c>
      <c r="O166" s="198" t="s">
        <v>1016</v>
      </c>
      <c r="P166" s="212" t="s">
        <v>1015</v>
      </c>
      <c r="Q166" s="198" t="s">
        <v>544</v>
      </c>
      <c r="R166" s="198" t="s">
        <v>211</v>
      </c>
      <c r="S166" s="205" t="s">
        <v>1011</v>
      </c>
      <c r="T166" s="205" t="s">
        <v>203</v>
      </c>
      <c r="U166" s="197">
        <v>0.1353</v>
      </c>
      <c r="V166" s="296">
        <v>70989.161099999998</v>
      </c>
      <c r="W166" s="296">
        <f t="shared" si="98"/>
        <v>9604.8334968300005</v>
      </c>
      <c r="X166" s="206">
        <f t="shared" si="115"/>
        <v>5727.511901222897</v>
      </c>
      <c r="Y166" s="197">
        <f t="shared" si="99"/>
        <v>15332.345398052898</v>
      </c>
      <c r="Z166" s="207">
        <f t="shared" si="108"/>
        <v>30.19896</v>
      </c>
      <c r="AA166" s="207">
        <f t="shared" si="109"/>
        <v>11.608739999999999</v>
      </c>
      <c r="AB166" s="207">
        <f t="shared" si="110"/>
        <v>2190.2364000000002</v>
      </c>
      <c r="AC166" s="207">
        <f t="shared" si="113"/>
        <v>175.43971254646837</v>
      </c>
      <c r="AD166" s="207"/>
      <c r="AE166" s="207">
        <f t="shared" si="111"/>
        <v>188.25473653786801</v>
      </c>
      <c r="AF166" s="207"/>
      <c r="AG166" s="207">
        <f t="shared" si="103"/>
        <v>139.27008570403501</v>
      </c>
      <c r="AH166" s="207">
        <f t="shared" si="104"/>
        <v>94.684448611750156</v>
      </c>
      <c r="AI166" s="207"/>
      <c r="AJ166" s="204">
        <f t="shared" si="112"/>
        <v>88.405020000000022</v>
      </c>
      <c r="AK166" s="207">
        <f t="shared" si="105"/>
        <v>4.8024167484150002</v>
      </c>
      <c r="AL166" s="207"/>
      <c r="AM166" s="204">
        <f t="shared" si="106"/>
        <v>595.49967680346003</v>
      </c>
      <c r="AN166" s="207">
        <f t="shared" si="107"/>
        <v>2209.1117042709002</v>
      </c>
    </row>
    <row r="167" spans="2:42" ht="13.5" hidden="1" thickBot="1">
      <c r="B167" s="198" t="s">
        <v>1005</v>
      </c>
      <c r="C167" s="198" t="s">
        <v>691</v>
      </c>
      <c r="D167" s="198" t="s">
        <v>1006</v>
      </c>
      <c r="E167" s="198" t="s">
        <v>1007</v>
      </c>
      <c r="F167" s="198" t="s">
        <v>694</v>
      </c>
      <c r="G167" s="197">
        <v>2</v>
      </c>
      <c r="H167" s="197" t="str">
        <f t="shared" si="114"/>
        <v>C</v>
      </c>
      <c r="I167" s="198" t="s">
        <v>541</v>
      </c>
      <c r="J167" s="198" t="s">
        <v>542</v>
      </c>
      <c r="K167" s="197">
        <v>1</v>
      </c>
      <c r="L167" s="197">
        <v>100</v>
      </c>
      <c r="M167" s="197">
        <v>1</v>
      </c>
      <c r="N167" s="198" t="s">
        <v>1008</v>
      </c>
      <c r="O167" s="198" t="s">
        <v>1017</v>
      </c>
      <c r="P167" s="212" t="s">
        <v>1010</v>
      </c>
      <c r="Q167" s="198" t="s">
        <v>544</v>
      </c>
      <c r="R167" s="198" t="s">
        <v>211</v>
      </c>
      <c r="S167" s="205" t="s">
        <v>1011</v>
      </c>
      <c r="T167" s="205"/>
      <c r="U167" s="197">
        <v>0.16500000000000001</v>
      </c>
      <c r="V167" s="296">
        <v>70989.161099999998</v>
      </c>
      <c r="W167" s="296">
        <f t="shared" si="98"/>
        <v>11713.2115815</v>
      </c>
      <c r="X167" s="206">
        <f t="shared" si="115"/>
        <v>6984.7706112474361</v>
      </c>
      <c r="Y167" s="197">
        <f t="shared" si="99"/>
        <v>18697.982192747437</v>
      </c>
      <c r="Z167" s="207">
        <f t="shared" si="108"/>
        <v>36.828000000000003</v>
      </c>
      <c r="AA167" s="207">
        <f t="shared" si="109"/>
        <v>14.157</v>
      </c>
      <c r="AB167" s="207">
        <f t="shared" si="110"/>
        <v>2671.02</v>
      </c>
      <c r="AC167" s="207">
        <f t="shared" si="113"/>
        <v>213.95086895910779</v>
      </c>
      <c r="AD167" s="207"/>
      <c r="AE167" s="207">
        <f t="shared" si="111"/>
        <v>229.57894699739998</v>
      </c>
      <c r="AF167" s="207"/>
      <c r="AG167" s="207">
        <f t="shared" si="103"/>
        <v>169.84156793175001</v>
      </c>
      <c r="AH167" s="207">
        <f t="shared" si="104"/>
        <v>115.468839770427</v>
      </c>
      <c r="AI167" s="207"/>
      <c r="AJ167" s="204">
        <f t="shared" si="112"/>
        <v>107.81100000000002</v>
      </c>
      <c r="AK167" s="207">
        <f t="shared" si="105"/>
        <v>5.8566057907499998</v>
      </c>
      <c r="AL167" s="207"/>
      <c r="AM167" s="204">
        <f t="shared" si="106"/>
        <v>726.21911805299999</v>
      </c>
      <c r="AN167" s="207">
        <f t="shared" si="107"/>
        <v>2694.0386637450001</v>
      </c>
    </row>
    <row r="168" spans="2:42" ht="13.5" hidden="1" thickBot="1">
      <c r="B168" s="199" t="s">
        <v>1018</v>
      </c>
      <c r="C168" s="199" t="s">
        <v>1019</v>
      </c>
      <c r="D168" s="199" t="s">
        <v>1020</v>
      </c>
      <c r="E168" s="199" t="s">
        <v>1021</v>
      </c>
      <c r="F168" s="199" t="s">
        <v>1022</v>
      </c>
      <c r="G168" s="200">
        <v>2</v>
      </c>
      <c r="H168" s="197" t="str">
        <f t="shared" si="114"/>
        <v>M</v>
      </c>
      <c r="I168" s="199" t="s">
        <v>559</v>
      </c>
      <c r="J168" s="199" t="s">
        <v>542</v>
      </c>
      <c r="K168" s="200">
        <v>1</v>
      </c>
      <c r="L168" s="200">
        <v>100</v>
      </c>
      <c r="M168" s="200">
        <v>1</v>
      </c>
      <c r="N168" s="199" t="s">
        <v>1008</v>
      </c>
      <c r="O168" s="199" t="s">
        <v>1014</v>
      </c>
      <c r="P168" s="212" t="s">
        <v>1015</v>
      </c>
      <c r="Q168" s="199" t="s">
        <v>560</v>
      </c>
      <c r="R168" s="199" t="s">
        <v>211</v>
      </c>
      <c r="S168" s="199" t="s">
        <v>1011</v>
      </c>
      <c r="T168" s="201" t="s">
        <v>203</v>
      </c>
      <c r="U168" s="200">
        <v>0.19469999999999998</v>
      </c>
      <c r="V168" s="200">
        <v>67973.53</v>
      </c>
      <c r="W168" s="200">
        <f t="shared" ref="W168:W183" si="116">+V168*U168</f>
        <v>13234.446290999998</v>
      </c>
      <c r="X168" s="202">
        <f t="shared" si="115"/>
        <v>8044.4802355490247</v>
      </c>
      <c r="Y168" s="200">
        <f t="shared" ref="Y168:Y183" si="117">+W168+X168</f>
        <v>21278.926526549025</v>
      </c>
      <c r="Z168" s="203">
        <f t="shared" si="108"/>
        <v>43.457039999999992</v>
      </c>
      <c r="AA168" s="203">
        <f t="shared" si="109"/>
        <v>16.705259999999999</v>
      </c>
      <c r="AB168" s="203">
        <f t="shared" si="110"/>
        <v>3151.8035999999997</v>
      </c>
      <c r="AC168" s="203">
        <f t="shared" si="113"/>
        <v>252.46202537174716</v>
      </c>
      <c r="AD168" s="203"/>
      <c r="AE168" s="203">
        <f t="shared" si="111"/>
        <v>259.39514730359997</v>
      </c>
      <c r="AF168" s="203"/>
      <c r="AG168" s="203">
        <f t="shared" ref="AG168:AG183" si="118">+W168*$AG$4</f>
        <v>191.89947121949999</v>
      </c>
      <c r="AH168" s="203">
        <f t="shared" ref="AH168:AH183" si="119">+W168*$AH$4</f>
        <v>130.46517153667799</v>
      </c>
      <c r="AI168" s="203"/>
      <c r="AJ168" s="204">
        <f t="shared" si="112"/>
        <v>127.21698000000001</v>
      </c>
      <c r="AK168" s="203">
        <f t="shared" ref="AK168:AK183" si="120">+W168*$AK$4</f>
        <v>6.6172231454999997</v>
      </c>
      <c r="AL168" s="203"/>
      <c r="AM168" s="204">
        <f t="shared" si="106"/>
        <v>820.53567004199988</v>
      </c>
      <c r="AN168" s="203">
        <f t="shared" si="107"/>
        <v>3043.9226469299997</v>
      </c>
    </row>
    <row r="169" spans="2:42" ht="13.5" hidden="1" thickBot="1">
      <c r="B169" s="199" t="s">
        <v>1018</v>
      </c>
      <c r="C169" s="199" t="s">
        <v>1019</v>
      </c>
      <c r="D169" s="199" t="s">
        <v>1020</v>
      </c>
      <c r="E169" s="199" t="s">
        <v>1021</v>
      </c>
      <c r="F169" s="199" t="s">
        <v>1022</v>
      </c>
      <c r="G169" s="200">
        <v>2</v>
      </c>
      <c r="H169" s="197" t="str">
        <f t="shared" si="114"/>
        <v>M</v>
      </c>
      <c r="I169" s="199" t="s">
        <v>559</v>
      </c>
      <c r="J169" s="199" t="s">
        <v>542</v>
      </c>
      <c r="K169" s="200">
        <v>1</v>
      </c>
      <c r="L169" s="200">
        <v>100</v>
      </c>
      <c r="M169" s="200">
        <v>1</v>
      </c>
      <c r="N169" s="199" t="s">
        <v>1008</v>
      </c>
      <c r="O169" s="199" t="s">
        <v>1009</v>
      </c>
      <c r="P169" s="212" t="s">
        <v>1010</v>
      </c>
      <c r="Q169" s="199" t="s">
        <v>560</v>
      </c>
      <c r="R169" s="199" t="s">
        <v>175</v>
      </c>
      <c r="S169" s="199" t="s">
        <v>1011</v>
      </c>
      <c r="T169" s="201"/>
      <c r="U169" s="200">
        <v>0.16500000000000001</v>
      </c>
      <c r="V169" s="200">
        <v>67973.53</v>
      </c>
      <c r="W169" s="200">
        <f t="shared" si="116"/>
        <v>11215.632450000001</v>
      </c>
      <c r="X169" s="202">
        <f t="shared" si="115"/>
        <v>6817.3561318212087</v>
      </c>
      <c r="Y169" s="200">
        <f t="shared" si="117"/>
        <v>18032.98858182121</v>
      </c>
      <c r="Z169" s="203">
        <f t="shared" si="108"/>
        <v>36.828000000000003</v>
      </c>
      <c r="AA169" s="203">
        <f t="shared" si="109"/>
        <v>14.157</v>
      </c>
      <c r="AB169" s="203">
        <f t="shared" si="110"/>
        <v>2671.02</v>
      </c>
      <c r="AC169" s="203">
        <f t="shared" si="113"/>
        <v>213.95086895910779</v>
      </c>
      <c r="AD169" s="203"/>
      <c r="AE169" s="203">
        <f t="shared" si="111"/>
        <v>219.82639602</v>
      </c>
      <c r="AF169" s="203"/>
      <c r="AG169" s="203">
        <f t="shared" si="118"/>
        <v>162.62667052500001</v>
      </c>
      <c r="AH169" s="203">
        <f t="shared" si="119"/>
        <v>110.56370469210002</v>
      </c>
      <c r="AI169" s="203"/>
      <c r="AJ169" s="204">
        <f t="shared" si="112"/>
        <v>107.81100000000002</v>
      </c>
      <c r="AK169" s="203">
        <f t="shared" si="120"/>
        <v>5.6078162250000005</v>
      </c>
      <c r="AL169" s="203"/>
      <c r="AM169" s="204">
        <f t="shared" si="106"/>
        <v>695.3692119000001</v>
      </c>
      <c r="AN169" s="203">
        <f t="shared" si="107"/>
        <v>2579.5954635000003</v>
      </c>
    </row>
    <row r="170" spans="2:42" ht="13.5" hidden="1" thickBot="1">
      <c r="B170" s="199" t="s">
        <v>1018</v>
      </c>
      <c r="C170" s="199" t="s">
        <v>1019</v>
      </c>
      <c r="D170" s="199" t="s">
        <v>1020</v>
      </c>
      <c r="E170" s="199" t="s">
        <v>1021</v>
      </c>
      <c r="F170" s="199" t="s">
        <v>1022</v>
      </c>
      <c r="G170" s="200">
        <v>2</v>
      </c>
      <c r="H170" s="197" t="str">
        <f t="shared" si="114"/>
        <v>M</v>
      </c>
      <c r="I170" s="199" t="s">
        <v>559</v>
      </c>
      <c r="J170" s="199" t="s">
        <v>542</v>
      </c>
      <c r="K170" s="200">
        <v>1</v>
      </c>
      <c r="L170" s="200">
        <v>100</v>
      </c>
      <c r="M170" s="200">
        <v>1</v>
      </c>
      <c r="N170" s="199" t="s">
        <v>1008</v>
      </c>
      <c r="O170" s="199" t="s">
        <v>1017</v>
      </c>
      <c r="P170" s="212" t="s">
        <v>1010</v>
      </c>
      <c r="Q170" s="199" t="s">
        <v>560</v>
      </c>
      <c r="R170" s="199" t="s">
        <v>175</v>
      </c>
      <c r="S170" s="199" t="s">
        <v>1011</v>
      </c>
      <c r="T170" s="201"/>
      <c r="U170" s="200">
        <v>0.16500000000000001</v>
      </c>
      <c r="V170" s="200">
        <v>67973.53</v>
      </c>
      <c r="W170" s="200">
        <f t="shared" si="116"/>
        <v>11215.632450000001</v>
      </c>
      <c r="X170" s="202">
        <f t="shared" si="115"/>
        <v>6817.3561318212087</v>
      </c>
      <c r="Y170" s="200">
        <f t="shared" si="117"/>
        <v>18032.98858182121</v>
      </c>
      <c r="Z170" s="203">
        <f t="shared" si="108"/>
        <v>36.828000000000003</v>
      </c>
      <c r="AA170" s="203">
        <f t="shared" si="109"/>
        <v>14.157</v>
      </c>
      <c r="AB170" s="203">
        <f t="shared" si="110"/>
        <v>2671.02</v>
      </c>
      <c r="AC170" s="203">
        <f t="shared" si="113"/>
        <v>213.95086895910779</v>
      </c>
      <c r="AD170" s="203"/>
      <c r="AE170" s="203">
        <f t="shared" si="111"/>
        <v>219.82639602</v>
      </c>
      <c r="AF170" s="203"/>
      <c r="AG170" s="203">
        <f t="shared" si="118"/>
        <v>162.62667052500001</v>
      </c>
      <c r="AH170" s="203">
        <f t="shared" si="119"/>
        <v>110.56370469210002</v>
      </c>
      <c r="AI170" s="203"/>
      <c r="AJ170" s="204">
        <f t="shared" si="112"/>
        <v>107.81100000000002</v>
      </c>
      <c r="AK170" s="203">
        <f t="shared" si="120"/>
        <v>5.6078162250000005</v>
      </c>
      <c r="AL170" s="203"/>
      <c r="AM170" s="204">
        <f t="shared" si="106"/>
        <v>695.3692119000001</v>
      </c>
      <c r="AN170" s="203">
        <f t="shared" si="107"/>
        <v>2579.5954635000003</v>
      </c>
    </row>
    <row r="171" spans="2:42" ht="12.75" hidden="1" customHeight="1" thickBot="1">
      <c r="B171" s="199" t="s">
        <v>1018</v>
      </c>
      <c r="C171" s="199" t="s">
        <v>1019</v>
      </c>
      <c r="D171" s="199" t="s">
        <v>1020</v>
      </c>
      <c r="E171" s="199" t="s">
        <v>1021</v>
      </c>
      <c r="F171" s="199" t="s">
        <v>1022</v>
      </c>
      <c r="G171" s="200">
        <v>2</v>
      </c>
      <c r="H171" s="197" t="str">
        <f t="shared" si="114"/>
        <v>M</v>
      </c>
      <c r="I171" s="266" t="s">
        <v>559</v>
      </c>
      <c r="J171" s="265" t="s">
        <v>542</v>
      </c>
      <c r="K171" s="268">
        <v>1</v>
      </c>
      <c r="L171" s="200">
        <v>100</v>
      </c>
      <c r="M171" s="268">
        <v>1</v>
      </c>
      <c r="N171" s="199" t="s">
        <v>1008</v>
      </c>
      <c r="O171" s="199" t="s">
        <v>1012</v>
      </c>
      <c r="P171" s="212" t="s">
        <v>1013</v>
      </c>
      <c r="Q171" s="199" t="s">
        <v>560</v>
      </c>
      <c r="R171" s="199" t="s">
        <v>211</v>
      </c>
      <c r="S171" s="199" t="s">
        <v>1011</v>
      </c>
      <c r="T171" s="201"/>
      <c r="U171" s="200">
        <v>0.34</v>
      </c>
      <c r="V171" s="200">
        <v>67973.53</v>
      </c>
      <c r="W171" s="200">
        <f t="shared" si="116"/>
        <v>23111.000200000002</v>
      </c>
      <c r="X171" s="202">
        <f t="shared" si="115"/>
        <v>14047.88536254067</v>
      </c>
      <c r="Y171" s="200">
        <f t="shared" si="117"/>
        <v>37158.885562540672</v>
      </c>
      <c r="Z171" s="203">
        <f t="shared" si="108"/>
        <v>75.888000000000005</v>
      </c>
      <c r="AA171" s="203">
        <f t="shared" si="109"/>
        <v>29.172000000000001</v>
      </c>
      <c r="AB171" s="203">
        <f t="shared" si="110"/>
        <v>5503.92</v>
      </c>
      <c r="AC171" s="203">
        <f t="shared" si="113"/>
        <v>440.86845724907062</v>
      </c>
      <c r="AD171" s="203"/>
      <c r="AE171" s="203">
        <f t="shared" si="111"/>
        <v>452.97560392000003</v>
      </c>
      <c r="AF171" s="203"/>
      <c r="AG171" s="203">
        <f t="shared" si="118"/>
        <v>335.10950290000005</v>
      </c>
      <c r="AH171" s="203">
        <f t="shared" si="119"/>
        <v>227.82823997160003</v>
      </c>
      <c r="AI171" s="203"/>
      <c r="AJ171" s="204">
        <f t="shared" si="112"/>
        <v>222.15600000000003</v>
      </c>
      <c r="AK171" s="203">
        <f t="shared" si="120"/>
        <v>11.555500100000001</v>
      </c>
      <c r="AL171" s="203"/>
      <c r="AM171" s="204">
        <f t="shared" si="106"/>
        <v>1432.8820124000001</v>
      </c>
      <c r="AN171" s="203">
        <f t="shared" si="107"/>
        <v>5315.5300460000008</v>
      </c>
      <c r="AO171" s="217">
        <f>IF(H171="C",IF(G171&lt;15,W171-(W171/1.025),0),0)</f>
        <v>0</v>
      </c>
      <c r="AP171" s="217">
        <f>IF(H171="M",IF(G171&lt;15,W171-(W171/1.025),0),0)</f>
        <v>563.6829317073134</v>
      </c>
    </row>
    <row r="172" spans="2:42" ht="13.5" hidden="1" thickBot="1">
      <c r="B172" s="199" t="s">
        <v>1018</v>
      </c>
      <c r="C172" s="199" t="s">
        <v>1019</v>
      </c>
      <c r="D172" s="199" t="s">
        <v>1020</v>
      </c>
      <c r="E172" s="199" t="s">
        <v>1021</v>
      </c>
      <c r="F172" s="199" t="s">
        <v>1022</v>
      </c>
      <c r="G172" s="200">
        <v>2</v>
      </c>
      <c r="H172" s="197" t="str">
        <f t="shared" si="114"/>
        <v>M</v>
      </c>
      <c r="I172" s="199" t="s">
        <v>559</v>
      </c>
      <c r="J172" s="199" t="s">
        <v>542</v>
      </c>
      <c r="K172" s="200">
        <v>1</v>
      </c>
      <c r="L172" s="200">
        <v>100</v>
      </c>
      <c r="M172" s="200">
        <v>1</v>
      </c>
      <c r="N172" s="199" t="s">
        <v>1008</v>
      </c>
      <c r="O172" s="199" t="s">
        <v>1016</v>
      </c>
      <c r="P172" s="212" t="s">
        <v>1015</v>
      </c>
      <c r="Q172" s="199" t="s">
        <v>560</v>
      </c>
      <c r="R172" s="199" t="s">
        <v>211</v>
      </c>
      <c r="S172" s="199" t="s">
        <v>1011</v>
      </c>
      <c r="T172" s="201" t="s">
        <v>203</v>
      </c>
      <c r="U172" s="200">
        <v>0.1353</v>
      </c>
      <c r="V172" s="200">
        <v>67973.53</v>
      </c>
      <c r="W172" s="200">
        <f t="shared" si="116"/>
        <v>9196.8186089999999</v>
      </c>
      <c r="X172" s="202">
        <f t="shared" si="115"/>
        <v>5590.2320280933909</v>
      </c>
      <c r="Y172" s="200">
        <f t="shared" si="117"/>
        <v>14787.050637093391</v>
      </c>
      <c r="Z172" s="203">
        <f t="shared" si="108"/>
        <v>30.19896</v>
      </c>
      <c r="AA172" s="203">
        <f t="shared" si="109"/>
        <v>11.608739999999999</v>
      </c>
      <c r="AB172" s="203">
        <f t="shared" si="110"/>
        <v>2190.2364000000002</v>
      </c>
      <c r="AC172" s="203">
        <f t="shared" si="113"/>
        <v>175.43971254646837</v>
      </c>
      <c r="AD172" s="203"/>
      <c r="AE172" s="203">
        <f t="shared" si="111"/>
        <v>180.25764473639998</v>
      </c>
      <c r="AF172" s="203"/>
      <c r="AG172" s="203">
        <f t="shared" si="118"/>
        <v>133.3538698305</v>
      </c>
      <c r="AH172" s="203">
        <f t="shared" si="119"/>
        <v>90.662237847522007</v>
      </c>
      <c r="AI172" s="203"/>
      <c r="AJ172" s="204">
        <f t="shared" si="112"/>
        <v>88.405020000000022</v>
      </c>
      <c r="AK172" s="203">
        <f t="shared" si="120"/>
        <v>4.5984093044999996</v>
      </c>
      <c r="AL172" s="203"/>
      <c r="AM172" s="204">
        <f t="shared" si="106"/>
        <v>570.20275375799997</v>
      </c>
      <c r="AN172" s="203">
        <f t="shared" si="107"/>
        <v>2115.2682800699999</v>
      </c>
      <c r="AO172" s="217">
        <f t="shared" ref="AO172:AO183" si="121">IF(H172="C",IF(G172&lt;15,W172-(W172/1.025),0),0)</f>
        <v>0</v>
      </c>
      <c r="AP172" s="217">
        <f t="shared" ref="AP172:AP183" si="122">IF(H172="M",IF(G172&lt;15,W172-(W172/1.025),0),0)</f>
        <v>224.31264899999951</v>
      </c>
    </row>
    <row r="173" spans="2:42" ht="12.75" hidden="1" customHeight="1" thickBot="1">
      <c r="B173" s="315" t="s">
        <v>587</v>
      </c>
      <c r="C173" s="317" t="s">
        <v>447</v>
      </c>
      <c r="D173" s="315" t="s">
        <v>588</v>
      </c>
      <c r="E173" s="315" t="s">
        <v>589</v>
      </c>
      <c r="F173" s="317" t="s">
        <v>590</v>
      </c>
      <c r="G173" s="318">
        <v>6</v>
      </c>
      <c r="H173" s="211" t="str">
        <f t="shared" si="114"/>
        <v>C</v>
      </c>
      <c r="I173" s="317" t="s">
        <v>541</v>
      </c>
      <c r="J173" s="317" t="s">
        <v>542</v>
      </c>
      <c r="K173" s="211">
        <v>1</v>
      </c>
      <c r="L173" s="211">
        <v>100</v>
      </c>
      <c r="M173" s="211">
        <v>1</v>
      </c>
      <c r="N173" s="212" t="s">
        <v>1023</v>
      </c>
      <c r="O173" s="317" t="s">
        <v>1024</v>
      </c>
      <c r="P173" s="212" t="s">
        <v>54</v>
      </c>
      <c r="Q173" s="212" t="s">
        <v>544</v>
      </c>
      <c r="R173" s="212" t="s">
        <v>211</v>
      </c>
      <c r="S173" s="315" t="s">
        <v>1025</v>
      </c>
      <c r="T173" s="319"/>
      <c r="U173" s="211">
        <v>0.1666</v>
      </c>
      <c r="V173" s="320">
        <v>59720.639999999999</v>
      </c>
      <c r="W173" s="295">
        <f t="shared" si="116"/>
        <v>9949.458623999999</v>
      </c>
      <c r="X173" s="270">
        <f t="shared" si="115"/>
        <v>6410.5003341434358</v>
      </c>
      <c r="Y173" s="211">
        <f t="shared" si="117"/>
        <v>16359.958958143434</v>
      </c>
      <c r="Z173" s="271">
        <f t="shared" si="108"/>
        <v>37.185119999999998</v>
      </c>
      <c r="AA173" s="271">
        <f t="shared" si="109"/>
        <v>14.294279999999999</v>
      </c>
      <c r="AB173" s="271">
        <f t="shared" si="110"/>
        <v>2696.9207999999999</v>
      </c>
      <c r="AC173" s="271">
        <f t="shared" si="113"/>
        <v>216.02554405204458</v>
      </c>
      <c r="AD173" s="271"/>
      <c r="AE173" s="271">
        <f t="shared" si="111"/>
        <v>195.00938903039997</v>
      </c>
      <c r="AF173" s="271"/>
      <c r="AG173" s="271">
        <f t="shared" si="118"/>
        <v>144.26715004799999</v>
      </c>
      <c r="AH173" s="271">
        <f t="shared" si="119"/>
        <v>98.081763115391993</v>
      </c>
      <c r="AI173" s="271"/>
      <c r="AJ173" s="216">
        <f t="shared" si="112"/>
        <v>98.499640377600002</v>
      </c>
      <c r="AK173" s="271">
        <f t="shared" si="120"/>
        <v>4.974729312</v>
      </c>
      <c r="AL173" s="271"/>
      <c r="AM173" s="216">
        <f t="shared" si="106"/>
        <v>616.86643468799991</v>
      </c>
      <c r="AN173" s="271">
        <f t="shared" si="107"/>
        <v>2288.3754835199998</v>
      </c>
      <c r="AO173" s="217">
        <f>IF(H173="C",IF(G173&lt;15,W173-(W173/1.025),0),0)</f>
        <v>242.66972253658423</v>
      </c>
      <c r="AP173" s="217">
        <f>IF(H173="M",IF(G173&lt;15,W173-(W173/1.025),0),0)</f>
        <v>0</v>
      </c>
    </row>
    <row r="174" spans="2:42" ht="12.75" hidden="1" customHeight="1" thickBot="1">
      <c r="B174" s="212" t="s">
        <v>587</v>
      </c>
      <c r="C174" s="212" t="s">
        <v>447</v>
      </c>
      <c r="D174" s="212" t="s">
        <v>588</v>
      </c>
      <c r="E174" s="212" t="s">
        <v>589</v>
      </c>
      <c r="F174" s="212" t="s">
        <v>590</v>
      </c>
      <c r="G174" s="211">
        <v>6</v>
      </c>
      <c r="H174" s="211" t="str">
        <f t="shared" si="114"/>
        <v>C</v>
      </c>
      <c r="I174" s="317" t="s">
        <v>541</v>
      </c>
      <c r="J174" s="212" t="s">
        <v>542</v>
      </c>
      <c r="K174" s="211">
        <v>1</v>
      </c>
      <c r="L174" s="211">
        <v>100</v>
      </c>
      <c r="M174" s="211">
        <v>1</v>
      </c>
      <c r="N174" s="212" t="s">
        <v>1023</v>
      </c>
      <c r="O174" s="212" t="s">
        <v>1024</v>
      </c>
      <c r="P174" s="212" t="s">
        <v>54</v>
      </c>
      <c r="Q174" s="212" t="s">
        <v>544</v>
      </c>
      <c r="R174" s="212" t="s">
        <v>211</v>
      </c>
      <c r="S174" s="212" t="s">
        <v>1026</v>
      </c>
      <c r="T174" s="269"/>
      <c r="U174" s="211">
        <v>0.16670000000000001</v>
      </c>
      <c r="V174" s="295">
        <v>59720.639999999999</v>
      </c>
      <c r="W174" s="295">
        <f t="shared" si="116"/>
        <v>9955.4306880000004</v>
      </c>
      <c r="X174" s="270">
        <f t="shared" si="115"/>
        <v>6414.3481734796587</v>
      </c>
      <c r="Y174" s="211">
        <f t="shared" si="117"/>
        <v>16369.778861479659</v>
      </c>
      <c r="Z174" s="271">
        <f t="shared" si="108"/>
        <v>37.207439999999998</v>
      </c>
      <c r="AA174" s="271">
        <f t="shared" si="109"/>
        <v>14.302860000000001</v>
      </c>
      <c r="AB174" s="271">
        <f t="shared" si="110"/>
        <v>2698.5396000000001</v>
      </c>
      <c r="AC174" s="271">
        <f t="shared" si="113"/>
        <v>216.15521124535314</v>
      </c>
      <c r="AD174" s="271"/>
      <c r="AE174" s="271">
        <f t="shared" si="111"/>
        <v>195.12644148480001</v>
      </c>
      <c r="AF174" s="271"/>
      <c r="AG174" s="271">
        <f t="shared" si="118"/>
        <v>144.353744976</v>
      </c>
      <c r="AH174" s="271">
        <f t="shared" si="119"/>
        <v>98.140635722304012</v>
      </c>
      <c r="AI174" s="271"/>
      <c r="AJ174" s="216">
        <f t="shared" si="112"/>
        <v>98.558763811200009</v>
      </c>
      <c r="AK174" s="271">
        <f t="shared" si="120"/>
        <v>4.9777153439999999</v>
      </c>
      <c r="AL174" s="271"/>
      <c r="AM174" s="216">
        <f t="shared" si="106"/>
        <v>617.23670265600003</v>
      </c>
      <c r="AN174" s="271">
        <f t="shared" si="107"/>
        <v>2289.7490582400001</v>
      </c>
      <c r="AO174" s="217">
        <f>IF(H174="C",IF(G174&lt;15,W174-(W174/1.025),0),0)</f>
        <v>242.81538263414586</v>
      </c>
      <c r="AP174" s="217">
        <f>IF(H174="M",IF(G174&lt;15,W174-(W174/1.025),0),0)</f>
        <v>0</v>
      </c>
    </row>
    <row r="175" spans="2:42" ht="13.5" hidden="1" thickBot="1">
      <c r="B175" s="212" t="s">
        <v>587</v>
      </c>
      <c r="C175" s="212" t="s">
        <v>447</v>
      </c>
      <c r="D175" s="212" t="s">
        <v>588</v>
      </c>
      <c r="E175" s="212" t="s">
        <v>589</v>
      </c>
      <c r="F175" s="212" t="s">
        <v>590</v>
      </c>
      <c r="G175" s="211">
        <v>6</v>
      </c>
      <c r="H175" s="211" t="str">
        <f t="shared" si="114"/>
        <v>C</v>
      </c>
      <c r="I175" s="212" t="s">
        <v>541</v>
      </c>
      <c r="J175" s="212" t="s">
        <v>542</v>
      </c>
      <c r="K175" s="211">
        <v>1</v>
      </c>
      <c r="L175" s="211">
        <v>100</v>
      </c>
      <c r="M175" s="211">
        <v>1</v>
      </c>
      <c r="N175" s="212" t="s">
        <v>1023</v>
      </c>
      <c r="O175" s="212" t="s">
        <v>1024</v>
      </c>
      <c r="P175" s="212" t="s">
        <v>54</v>
      </c>
      <c r="Q175" s="212" t="s">
        <v>544</v>
      </c>
      <c r="R175" s="212" t="s">
        <v>211</v>
      </c>
      <c r="S175" s="212" t="s">
        <v>1027</v>
      </c>
      <c r="T175" s="269"/>
      <c r="U175" s="211">
        <v>0.16670000000000001</v>
      </c>
      <c r="V175" s="295">
        <v>59720.639999999999</v>
      </c>
      <c r="W175" s="295">
        <f t="shared" si="116"/>
        <v>9955.4306880000004</v>
      </c>
      <c r="X175" s="270">
        <f t="shared" si="115"/>
        <v>6414.3481734796587</v>
      </c>
      <c r="Y175" s="211">
        <f t="shared" si="117"/>
        <v>16369.778861479659</v>
      </c>
      <c r="Z175" s="271">
        <f t="shared" si="108"/>
        <v>37.207439999999998</v>
      </c>
      <c r="AA175" s="271">
        <f t="shared" si="109"/>
        <v>14.302860000000001</v>
      </c>
      <c r="AB175" s="271">
        <f t="shared" si="110"/>
        <v>2698.5396000000001</v>
      </c>
      <c r="AC175" s="271">
        <f t="shared" si="113"/>
        <v>216.15521124535314</v>
      </c>
      <c r="AD175" s="271"/>
      <c r="AE175" s="271">
        <f t="shared" si="111"/>
        <v>195.12644148480001</v>
      </c>
      <c r="AF175" s="271"/>
      <c r="AG175" s="271">
        <f t="shared" si="118"/>
        <v>144.353744976</v>
      </c>
      <c r="AH175" s="271">
        <f t="shared" si="119"/>
        <v>98.140635722304012</v>
      </c>
      <c r="AI175" s="271"/>
      <c r="AJ175" s="216">
        <f t="shared" si="112"/>
        <v>98.558763811200009</v>
      </c>
      <c r="AK175" s="271">
        <f t="shared" si="120"/>
        <v>4.9777153439999999</v>
      </c>
      <c r="AL175" s="271"/>
      <c r="AM175" s="216">
        <f t="shared" si="106"/>
        <v>617.23670265600003</v>
      </c>
      <c r="AN175" s="271">
        <f t="shared" si="107"/>
        <v>2289.7490582400001</v>
      </c>
      <c r="AO175" s="217">
        <f t="shared" si="121"/>
        <v>242.81538263414586</v>
      </c>
      <c r="AP175" s="217">
        <f t="shared" si="122"/>
        <v>0</v>
      </c>
    </row>
    <row r="176" spans="2:42" ht="13.5" hidden="1" thickBot="1">
      <c r="B176" s="232" t="s">
        <v>1028</v>
      </c>
      <c r="C176" s="232" t="s">
        <v>1029</v>
      </c>
      <c r="D176" s="244"/>
      <c r="E176" s="244"/>
      <c r="F176" s="244"/>
      <c r="G176" s="244"/>
      <c r="H176" s="243" t="str">
        <f t="shared" si="114"/>
        <v>C</v>
      </c>
      <c r="I176" s="232" t="s">
        <v>1030</v>
      </c>
      <c r="J176" s="232" t="s">
        <v>542</v>
      </c>
      <c r="K176" s="243">
        <v>0.47499999999999998</v>
      </c>
      <c r="L176" s="244"/>
      <c r="M176" s="244"/>
      <c r="N176" s="232" t="s">
        <v>1023</v>
      </c>
      <c r="O176" s="232" t="s">
        <v>1024</v>
      </c>
      <c r="P176" s="212" t="s">
        <v>54</v>
      </c>
      <c r="Q176" s="232" t="s">
        <v>544</v>
      </c>
      <c r="R176" s="232" t="s">
        <v>211</v>
      </c>
      <c r="S176" s="244"/>
      <c r="T176" s="244"/>
      <c r="U176" s="243">
        <v>1</v>
      </c>
      <c r="V176" s="302">
        <v>16075.652999999998</v>
      </c>
      <c r="W176" s="302">
        <f t="shared" si="116"/>
        <v>16075.652999999998</v>
      </c>
      <c r="X176" s="245">
        <f t="shared" si="115"/>
        <v>994.40774327399993</v>
      </c>
      <c r="Y176" s="243">
        <f t="shared" si="117"/>
        <v>17070.060743274</v>
      </c>
      <c r="Z176" s="246"/>
      <c r="AA176" s="246"/>
      <c r="AB176" s="246"/>
      <c r="AC176" s="246"/>
      <c r="AD176" s="246"/>
      <c r="AE176" s="246"/>
      <c r="AF176" s="246">
        <f>+V176*$AF$4</f>
        <v>594.79916099999991</v>
      </c>
      <c r="AG176" s="246">
        <f t="shared" si="118"/>
        <v>233.0969685</v>
      </c>
      <c r="AH176" s="246">
        <f t="shared" si="119"/>
        <v>158.47378727399999</v>
      </c>
      <c r="AI176" s="246"/>
      <c r="AJ176" s="247"/>
      <c r="AK176" s="246">
        <f t="shared" si="120"/>
        <v>8.0378264999999995</v>
      </c>
      <c r="AL176" s="246"/>
      <c r="AM176" s="247"/>
      <c r="AN176" s="246"/>
      <c r="AO176" s="217">
        <f t="shared" si="121"/>
        <v>392.08909756097455</v>
      </c>
      <c r="AP176" s="217">
        <f t="shared" si="122"/>
        <v>0</v>
      </c>
    </row>
    <row r="177" spans="1:42" ht="13.5" hidden="1" thickBot="1">
      <c r="B177" s="212" t="s">
        <v>835</v>
      </c>
      <c r="C177" s="212" t="s">
        <v>836</v>
      </c>
      <c r="D177" s="212" t="s">
        <v>837</v>
      </c>
      <c r="E177" s="212" t="s">
        <v>838</v>
      </c>
      <c r="F177" s="212" t="s">
        <v>839</v>
      </c>
      <c r="G177" s="211">
        <v>9</v>
      </c>
      <c r="H177" s="211" t="str">
        <f t="shared" si="114"/>
        <v>M</v>
      </c>
      <c r="I177" s="212" t="s">
        <v>840</v>
      </c>
      <c r="J177" s="212" t="s">
        <v>542</v>
      </c>
      <c r="K177" s="211">
        <v>1</v>
      </c>
      <c r="L177" s="211">
        <v>100</v>
      </c>
      <c r="M177" s="211">
        <v>1</v>
      </c>
      <c r="N177" s="212" t="s">
        <v>1023</v>
      </c>
      <c r="O177" s="212" t="s">
        <v>222</v>
      </c>
      <c r="P177" s="212" t="s">
        <v>54</v>
      </c>
      <c r="Q177" s="212" t="s">
        <v>830</v>
      </c>
      <c r="R177" s="212" t="s">
        <v>175</v>
      </c>
      <c r="S177" s="269"/>
      <c r="T177" s="269"/>
      <c r="U177" s="211">
        <v>0.5</v>
      </c>
      <c r="V177" s="295">
        <v>164225.01</v>
      </c>
      <c r="W177" s="295">
        <f t="shared" si="116"/>
        <v>82112.505000000005</v>
      </c>
      <c r="X177" s="270">
        <f t="shared" si="115"/>
        <v>35879.869863832755</v>
      </c>
      <c r="Y177" s="211">
        <f t="shared" si="117"/>
        <v>117992.37486383275</v>
      </c>
      <c r="Z177" s="271">
        <f>+$Z$4*U177</f>
        <v>111.6</v>
      </c>
      <c r="AA177" s="271">
        <f>+$AA$4*U177</f>
        <v>42.9</v>
      </c>
      <c r="AB177" s="271">
        <f>+$AB$4*U177</f>
        <v>8094</v>
      </c>
      <c r="AC177" s="271">
        <f>+$AC$4*U177</f>
        <v>648.33596654275084</v>
      </c>
      <c r="AD177" s="271"/>
      <c r="AE177" s="271">
        <f t="shared" ref="AE177:AE183" si="123">+W177*$AE$4</f>
        <v>1609.405098</v>
      </c>
      <c r="AF177" s="271"/>
      <c r="AG177" s="271">
        <f t="shared" si="118"/>
        <v>1190.6313225000001</v>
      </c>
      <c r="AH177" s="271">
        <f t="shared" si="119"/>
        <v>809.46507429000008</v>
      </c>
      <c r="AI177" s="271"/>
      <c r="AJ177" s="216">
        <f t="shared" ref="AJ177:AJ183" si="124">SUM(IF(V177&gt;65999,((66000*$AJ$4)*U177),(IF(V177&lt;66000,($AJ$4*(W177))))))</f>
        <v>326.70000000000005</v>
      </c>
      <c r="AK177" s="271">
        <f t="shared" si="120"/>
        <v>41.056252500000006</v>
      </c>
      <c r="AL177" s="271"/>
      <c r="AM177" s="216">
        <f t="shared" ref="AM177:AM183" si="125">SUM(IF(V177&gt;132900,((132900*$AM$4)*U177),(IF(V177&lt;132900,($AM$4*(W177))))))</f>
        <v>4119.8999999999996</v>
      </c>
      <c r="AN177" s="271">
        <f t="shared" ref="AN177:AN183" si="126">+W177*$AN$4</f>
        <v>18885.876150000004</v>
      </c>
      <c r="AO177" s="217">
        <f t="shared" si="121"/>
        <v>0</v>
      </c>
      <c r="AP177" s="217">
        <f t="shared" si="122"/>
        <v>2002.7440243902383</v>
      </c>
    </row>
    <row r="178" spans="1:42" ht="13.5" hidden="1" thickBot="1">
      <c r="B178" s="209" t="s">
        <v>1031</v>
      </c>
      <c r="C178" s="209" t="s">
        <v>1032</v>
      </c>
      <c r="D178" s="209" t="s">
        <v>1033</v>
      </c>
      <c r="E178" s="209" t="s">
        <v>1034</v>
      </c>
      <c r="F178" s="209" t="s">
        <v>565</v>
      </c>
      <c r="G178" s="210">
        <v>3</v>
      </c>
      <c r="H178" s="211" t="str">
        <f t="shared" si="114"/>
        <v>M</v>
      </c>
      <c r="I178" s="209" t="s">
        <v>559</v>
      </c>
      <c r="J178" s="209" t="s">
        <v>542</v>
      </c>
      <c r="K178" s="210">
        <v>1</v>
      </c>
      <c r="L178" s="210">
        <v>100</v>
      </c>
      <c r="M178" s="210">
        <v>1</v>
      </c>
      <c r="N178" s="209" t="s">
        <v>1023</v>
      </c>
      <c r="O178" s="209" t="s">
        <v>1024</v>
      </c>
      <c r="P178" s="212" t="s">
        <v>54</v>
      </c>
      <c r="Q178" s="209" t="s">
        <v>560</v>
      </c>
      <c r="R178" s="209" t="s">
        <v>211</v>
      </c>
      <c r="S178" s="209" t="s">
        <v>1026</v>
      </c>
      <c r="T178" s="213"/>
      <c r="U178" s="210">
        <v>0.33329999999999999</v>
      </c>
      <c r="V178" s="210">
        <v>89625.84</v>
      </c>
      <c r="W178" s="210">
        <f t="shared" si="116"/>
        <v>29872.292471999997</v>
      </c>
      <c r="X178" s="214">
        <f t="shared" si="115"/>
        <v>16199.180855841574</v>
      </c>
      <c r="Y178" s="210">
        <f t="shared" si="117"/>
        <v>46071.473327841573</v>
      </c>
      <c r="Z178" s="215">
        <f>+$Z$4*U178</f>
        <v>74.392559999999989</v>
      </c>
      <c r="AA178" s="215">
        <f>+$AA$4*U178</f>
        <v>28.597139999999996</v>
      </c>
      <c r="AB178" s="215">
        <f>+$AB$4*U178</f>
        <v>5395.4603999999999</v>
      </c>
      <c r="AC178" s="215">
        <f>+$AC$4*U178</f>
        <v>432.1807552973977</v>
      </c>
      <c r="AD178" s="215"/>
      <c r="AE178" s="215">
        <f t="shared" si="123"/>
        <v>585.49693245119988</v>
      </c>
      <c r="AF178" s="215"/>
      <c r="AG178" s="215">
        <f t="shared" si="118"/>
        <v>433.14824084399999</v>
      </c>
      <c r="AH178" s="215">
        <f t="shared" si="119"/>
        <v>294.48105918897596</v>
      </c>
      <c r="AI178" s="215"/>
      <c r="AJ178" s="216">
        <f t="shared" si="124"/>
        <v>217.77822000000003</v>
      </c>
      <c r="AK178" s="215">
        <f t="shared" si="120"/>
        <v>14.936146235999999</v>
      </c>
      <c r="AL178" s="215"/>
      <c r="AM178" s="216">
        <f t="shared" si="125"/>
        <v>1852.0821332639998</v>
      </c>
      <c r="AN178" s="215">
        <f t="shared" si="126"/>
        <v>6870.6272685599997</v>
      </c>
      <c r="AO178" s="217">
        <f t="shared" si="121"/>
        <v>0</v>
      </c>
      <c r="AP178" s="217">
        <f t="shared" si="122"/>
        <v>728.59249931707018</v>
      </c>
    </row>
    <row r="179" spans="1:42" ht="13.5" hidden="1" thickBot="1">
      <c r="B179" s="209" t="s">
        <v>1031</v>
      </c>
      <c r="C179" s="209" t="s">
        <v>1032</v>
      </c>
      <c r="D179" s="209" t="s">
        <v>1033</v>
      </c>
      <c r="E179" s="209" t="s">
        <v>1034</v>
      </c>
      <c r="F179" s="209" t="s">
        <v>565</v>
      </c>
      <c r="G179" s="210">
        <v>3</v>
      </c>
      <c r="H179" s="211" t="str">
        <f t="shared" si="114"/>
        <v>M</v>
      </c>
      <c r="I179" s="209" t="s">
        <v>559</v>
      </c>
      <c r="J179" s="209" t="s">
        <v>542</v>
      </c>
      <c r="K179" s="210">
        <v>1</v>
      </c>
      <c r="L179" s="210">
        <v>100</v>
      </c>
      <c r="M179" s="210">
        <v>1</v>
      </c>
      <c r="N179" s="209" t="s">
        <v>1023</v>
      </c>
      <c r="O179" s="209" t="s">
        <v>1024</v>
      </c>
      <c r="P179" s="212" t="s">
        <v>54</v>
      </c>
      <c r="Q179" s="209" t="s">
        <v>560</v>
      </c>
      <c r="R179" s="209" t="s">
        <v>211</v>
      </c>
      <c r="S179" s="209" t="s">
        <v>1025</v>
      </c>
      <c r="T179" s="213"/>
      <c r="U179" s="210">
        <v>0.33340000000000003</v>
      </c>
      <c r="V179" s="210">
        <v>89625.84</v>
      </c>
      <c r="W179" s="210">
        <f t="shared" si="116"/>
        <v>29881.255056000002</v>
      </c>
      <c r="X179" s="214">
        <f t="shared" si="115"/>
        <v>16204.041096122355</v>
      </c>
      <c r="Y179" s="210">
        <f t="shared" si="117"/>
        <v>46085.296152122355</v>
      </c>
      <c r="Z179" s="215">
        <f>+$Z$4*U179</f>
        <v>74.414879999999997</v>
      </c>
      <c r="AA179" s="215">
        <f>+$AA$4*U179</f>
        <v>28.605720000000002</v>
      </c>
      <c r="AB179" s="215">
        <f>+$AB$4*U179</f>
        <v>5397.0792000000001</v>
      </c>
      <c r="AC179" s="215">
        <f>+$AC$4*U179</f>
        <v>432.31042249070629</v>
      </c>
      <c r="AD179" s="215"/>
      <c r="AE179" s="215">
        <f t="shared" si="123"/>
        <v>585.67259909760003</v>
      </c>
      <c r="AF179" s="215"/>
      <c r="AG179" s="215">
        <f t="shared" si="118"/>
        <v>433.27819831200003</v>
      </c>
      <c r="AH179" s="215">
        <f t="shared" si="119"/>
        <v>294.56941234204805</v>
      </c>
      <c r="AI179" s="215"/>
      <c r="AJ179" s="216">
        <f t="shared" si="124"/>
        <v>217.84356000000005</v>
      </c>
      <c r="AK179" s="215">
        <f t="shared" si="120"/>
        <v>14.940627528000002</v>
      </c>
      <c r="AL179" s="215"/>
      <c r="AM179" s="216">
        <f t="shared" si="125"/>
        <v>1852.6378134720001</v>
      </c>
      <c r="AN179" s="215">
        <f t="shared" si="126"/>
        <v>6872.6886628800003</v>
      </c>
      <c r="AO179" s="217">
        <f t="shared" si="121"/>
        <v>0</v>
      </c>
      <c r="AP179" s="217">
        <f t="shared" si="122"/>
        <v>728.81109892682798</v>
      </c>
    </row>
    <row r="180" spans="1:42" ht="13.5" hidden="1" thickBot="1">
      <c r="B180" s="209" t="s">
        <v>1031</v>
      </c>
      <c r="C180" s="209" t="s">
        <v>1032</v>
      </c>
      <c r="D180" s="209" t="s">
        <v>1033</v>
      </c>
      <c r="E180" s="209" t="s">
        <v>1034</v>
      </c>
      <c r="F180" s="209" t="s">
        <v>565</v>
      </c>
      <c r="G180" s="210">
        <v>3</v>
      </c>
      <c r="H180" s="211" t="str">
        <f t="shared" si="114"/>
        <v>M</v>
      </c>
      <c r="I180" s="209" t="s">
        <v>559</v>
      </c>
      <c r="J180" s="209" t="s">
        <v>542</v>
      </c>
      <c r="K180" s="210">
        <v>1</v>
      </c>
      <c r="L180" s="210">
        <v>100</v>
      </c>
      <c r="M180" s="210">
        <v>1</v>
      </c>
      <c r="N180" s="209" t="s">
        <v>1023</v>
      </c>
      <c r="O180" s="209" t="s">
        <v>1024</v>
      </c>
      <c r="P180" s="212" t="s">
        <v>54</v>
      </c>
      <c r="Q180" s="209" t="s">
        <v>560</v>
      </c>
      <c r="R180" s="209" t="s">
        <v>211</v>
      </c>
      <c r="S180" s="209" t="s">
        <v>1027</v>
      </c>
      <c r="T180" s="213"/>
      <c r="U180" s="210">
        <v>0.33329999999999999</v>
      </c>
      <c r="V180" s="210">
        <v>89625.84</v>
      </c>
      <c r="W180" s="210">
        <f t="shared" si="116"/>
        <v>29872.292471999997</v>
      </c>
      <c r="X180" s="214">
        <f t="shared" si="115"/>
        <v>16199.180855841574</v>
      </c>
      <c r="Y180" s="210">
        <f t="shared" si="117"/>
        <v>46071.473327841573</v>
      </c>
      <c r="Z180" s="215">
        <f>+$Z$4*U180</f>
        <v>74.392559999999989</v>
      </c>
      <c r="AA180" s="215">
        <f>+$AA$4*U180</f>
        <v>28.597139999999996</v>
      </c>
      <c r="AB180" s="215">
        <f>+$AB$4*U180</f>
        <v>5395.4603999999999</v>
      </c>
      <c r="AC180" s="215">
        <f>+$AC$4*U180</f>
        <v>432.1807552973977</v>
      </c>
      <c r="AD180" s="215"/>
      <c r="AE180" s="215">
        <f t="shared" si="123"/>
        <v>585.49693245119988</v>
      </c>
      <c r="AF180" s="215"/>
      <c r="AG180" s="215">
        <f t="shared" si="118"/>
        <v>433.14824084399999</v>
      </c>
      <c r="AH180" s="215">
        <f t="shared" si="119"/>
        <v>294.48105918897596</v>
      </c>
      <c r="AI180" s="215"/>
      <c r="AJ180" s="216">
        <f t="shared" si="124"/>
        <v>217.77822000000003</v>
      </c>
      <c r="AK180" s="215">
        <f t="shared" si="120"/>
        <v>14.936146235999999</v>
      </c>
      <c r="AL180" s="215"/>
      <c r="AM180" s="216">
        <f t="shared" si="125"/>
        <v>1852.0821332639998</v>
      </c>
      <c r="AN180" s="215">
        <f t="shared" si="126"/>
        <v>6870.6272685599997</v>
      </c>
      <c r="AO180" s="217">
        <f t="shared" si="121"/>
        <v>0</v>
      </c>
      <c r="AP180" s="217">
        <f t="shared" si="122"/>
        <v>728.59249931707018</v>
      </c>
    </row>
    <row r="181" spans="1:42" ht="13.5" hidden="1" thickBot="1">
      <c r="B181" s="212" t="s">
        <v>913</v>
      </c>
      <c r="C181" s="212" t="s">
        <v>914</v>
      </c>
      <c r="D181" s="212" t="s">
        <v>915</v>
      </c>
      <c r="E181" s="212" t="s">
        <v>916</v>
      </c>
      <c r="F181" s="212" t="s">
        <v>895</v>
      </c>
      <c r="G181" s="211">
        <v>10</v>
      </c>
      <c r="H181" s="211" t="str">
        <f t="shared" si="114"/>
        <v>M</v>
      </c>
      <c r="I181" s="212" t="s">
        <v>559</v>
      </c>
      <c r="J181" s="212" t="s">
        <v>542</v>
      </c>
      <c r="K181" s="211">
        <v>1</v>
      </c>
      <c r="L181" s="211">
        <v>100</v>
      </c>
      <c r="M181" s="211">
        <v>1</v>
      </c>
      <c r="N181" s="212" t="s">
        <v>1035</v>
      </c>
      <c r="O181" s="212" t="s">
        <v>220</v>
      </c>
      <c r="P181" s="212" t="s">
        <v>54</v>
      </c>
      <c r="Q181" s="212" t="s">
        <v>560</v>
      </c>
      <c r="R181" s="212" t="s">
        <v>211</v>
      </c>
      <c r="S181" s="269"/>
      <c r="T181" s="269"/>
      <c r="U181" s="211">
        <v>0</v>
      </c>
      <c r="V181" s="211">
        <v>128263.71</v>
      </c>
      <c r="W181" s="211">
        <f t="shared" si="116"/>
        <v>0</v>
      </c>
      <c r="X181" s="270">
        <f t="shared" si="115"/>
        <v>0</v>
      </c>
      <c r="Y181" s="211">
        <f t="shared" si="117"/>
        <v>0</v>
      </c>
      <c r="Z181" s="271">
        <f>+$Z$4*U181</f>
        <v>0</v>
      </c>
      <c r="AA181" s="271">
        <f>+$AA$4*U181</f>
        <v>0</v>
      </c>
      <c r="AB181" s="271">
        <f>+$AB$4*U181</f>
        <v>0</v>
      </c>
      <c r="AC181" s="271">
        <f>+$AC$4*U181</f>
        <v>0</v>
      </c>
      <c r="AD181" s="271"/>
      <c r="AE181" s="271">
        <f t="shared" si="123"/>
        <v>0</v>
      </c>
      <c r="AF181" s="271"/>
      <c r="AG181" s="271">
        <f t="shared" si="118"/>
        <v>0</v>
      </c>
      <c r="AH181" s="271">
        <f t="shared" si="119"/>
        <v>0</v>
      </c>
      <c r="AI181" s="271"/>
      <c r="AJ181" s="216">
        <f t="shared" si="124"/>
        <v>0</v>
      </c>
      <c r="AK181" s="271">
        <f t="shared" si="120"/>
        <v>0</v>
      </c>
      <c r="AL181" s="271"/>
      <c r="AM181" s="216">
        <f t="shared" si="125"/>
        <v>0</v>
      </c>
      <c r="AN181" s="271">
        <f t="shared" si="126"/>
        <v>0</v>
      </c>
      <c r="AO181" s="217">
        <f t="shared" si="121"/>
        <v>0</v>
      </c>
      <c r="AP181" s="217">
        <f t="shared" si="122"/>
        <v>0</v>
      </c>
    </row>
    <row r="182" spans="1:42" ht="13.5" hidden="1" thickBot="1">
      <c r="B182" s="233" t="s">
        <v>1036</v>
      </c>
      <c r="C182" s="233" t="s">
        <v>1037</v>
      </c>
      <c r="D182" s="234"/>
      <c r="E182" s="234"/>
      <c r="F182" s="234"/>
      <c r="G182" s="234"/>
      <c r="H182" s="235" t="str">
        <f t="shared" si="114"/>
        <v>M</v>
      </c>
      <c r="I182" s="233" t="s">
        <v>559</v>
      </c>
      <c r="J182" s="233" t="s">
        <v>542</v>
      </c>
      <c r="K182" s="235">
        <v>1</v>
      </c>
      <c r="L182" s="234"/>
      <c r="M182" s="234"/>
      <c r="N182" s="233" t="s">
        <v>1038</v>
      </c>
      <c r="O182" s="233" t="s">
        <v>1039</v>
      </c>
      <c r="P182" s="212" t="s">
        <v>54</v>
      </c>
      <c r="Q182" s="233" t="s">
        <v>560</v>
      </c>
      <c r="R182" s="233" t="s">
        <v>211</v>
      </c>
      <c r="S182" s="234"/>
      <c r="T182" s="234"/>
      <c r="U182" s="235">
        <v>1</v>
      </c>
      <c r="V182" s="235"/>
      <c r="W182" s="235">
        <f t="shared" si="116"/>
        <v>0</v>
      </c>
      <c r="X182" s="236">
        <f t="shared" si="115"/>
        <v>0</v>
      </c>
      <c r="Y182" s="235">
        <f t="shared" si="117"/>
        <v>0</v>
      </c>
      <c r="Z182" s="237"/>
      <c r="AA182" s="237"/>
      <c r="AB182" s="237"/>
      <c r="AC182" s="237"/>
      <c r="AD182" s="237"/>
      <c r="AE182" s="237">
        <f t="shared" si="123"/>
        <v>0</v>
      </c>
      <c r="AF182" s="237"/>
      <c r="AG182" s="237">
        <f t="shared" si="118"/>
        <v>0</v>
      </c>
      <c r="AH182" s="237">
        <f t="shared" si="119"/>
        <v>0</v>
      </c>
      <c r="AI182" s="237"/>
      <c r="AJ182" s="238">
        <f t="shared" si="124"/>
        <v>0</v>
      </c>
      <c r="AK182" s="237">
        <f t="shared" si="120"/>
        <v>0</v>
      </c>
      <c r="AL182" s="237"/>
      <c r="AM182" s="238">
        <f t="shared" si="125"/>
        <v>0</v>
      </c>
      <c r="AN182" s="237">
        <f t="shared" si="126"/>
        <v>0</v>
      </c>
      <c r="AO182" s="217">
        <f t="shared" si="121"/>
        <v>0</v>
      </c>
      <c r="AP182" s="217">
        <f t="shared" si="122"/>
        <v>0</v>
      </c>
    </row>
    <row r="183" spans="1:42" ht="13.5" hidden="1" thickBot="1">
      <c r="B183" s="314" t="s">
        <v>1040</v>
      </c>
      <c r="C183" s="249" t="s">
        <v>1041</v>
      </c>
      <c r="D183" s="249"/>
      <c r="E183" s="249" t="s">
        <v>1042</v>
      </c>
      <c r="F183" s="249"/>
      <c r="G183" s="250"/>
      <c r="H183" s="250"/>
      <c r="I183" s="249" t="s">
        <v>541</v>
      </c>
      <c r="J183" s="249" t="s">
        <v>542</v>
      </c>
      <c r="K183" s="250">
        <v>1</v>
      </c>
      <c r="L183" s="250">
        <v>100</v>
      </c>
      <c r="M183" s="250"/>
      <c r="N183" s="249" t="s">
        <v>1043</v>
      </c>
      <c r="O183" s="249" t="s">
        <v>1044</v>
      </c>
      <c r="P183" s="212" t="s">
        <v>1045</v>
      </c>
      <c r="Q183" s="249" t="s">
        <v>544</v>
      </c>
      <c r="R183" s="249" t="s">
        <v>175</v>
      </c>
      <c r="S183" s="251"/>
      <c r="T183" s="251"/>
      <c r="U183" s="200">
        <v>1</v>
      </c>
      <c r="V183" s="303">
        <v>78358.670300000042</v>
      </c>
      <c r="W183" s="303">
        <f t="shared" si="116"/>
        <v>78358.670300000042</v>
      </c>
      <c r="X183" s="252">
        <f t="shared" si="115"/>
        <v>44811.473424882912</v>
      </c>
      <c r="Y183" s="250">
        <f t="shared" si="117"/>
        <v>123170.14372488295</v>
      </c>
      <c r="Z183" s="253">
        <f>+$Z$4*U183</f>
        <v>223.2</v>
      </c>
      <c r="AA183" s="253">
        <f>+$AA$4*U183</f>
        <v>85.8</v>
      </c>
      <c r="AB183" s="253">
        <f>+$AB$4*U183</f>
        <v>16188</v>
      </c>
      <c r="AC183" s="253">
        <f>+$AC$4*U183</f>
        <v>1296.6719330855017</v>
      </c>
      <c r="AD183" s="253"/>
      <c r="AE183" s="253">
        <f t="shared" si="123"/>
        <v>1535.8299378800007</v>
      </c>
      <c r="AF183" s="253"/>
      <c r="AG183" s="253">
        <f t="shared" si="118"/>
        <v>1136.2007193500006</v>
      </c>
      <c r="AH183" s="253">
        <f t="shared" si="119"/>
        <v>772.45977181740045</v>
      </c>
      <c r="AI183" s="253"/>
      <c r="AJ183" s="254">
        <f t="shared" si="124"/>
        <v>653.40000000000009</v>
      </c>
      <c r="AK183" s="253">
        <f t="shared" si="120"/>
        <v>39.179335150000021</v>
      </c>
      <c r="AL183" s="253"/>
      <c r="AM183" s="254">
        <f t="shared" si="125"/>
        <v>4858.2375586000026</v>
      </c>
      <c r="AN183" s="253">
        <f t="shared" si="126"/>
        <v>18022.494169000009</v>
      </c>
      <c r="AO183" s="217">
        <f t="shared" si="121"/>
        <v>0</v>
      </c>
      <c r="AP183" s="217">
        <f t="shared" si="122"/>
        <v>0</v>
      </c>
    </row>
    <row r="184" spans="1:42" ht="12.75" customHeight="1">
      <c r="Y184" s="185"/>
    </row>
    <row r="185" spans="1:42" ht="12.75" customHeight="1" thickBot="1">
      <c r="Y185" s="185"/>
    </row>
    <row r="186" spans="1:42" ht="12.75" customHeight="1" thickBot="1">
      <c r="A186" s="286" t="s">
        <v>1046</v>
      </c>
      <c r="Y186" s="185"/>
    </row>
    <row r="187" spans="1:42" ht="13.5" thickBot="1">
      <c r="B187" s="198" t="s">
        <v>464</v>
      </c>
      <c r="C187" s="198" t="s">
        <v>30</v>
      </c>
      <c r="D187" s="205"/>
      <c r="E187" s="184"/>
      <c r="F187" s="205"/>
      <c r="G187" s="205"/>
      <c r="H187" s="197" t="str">
        <f t="shared" ref="H187:H192" si="127">LEFT(I187,1)</f>
        <v>C</v>
      </c>
      <c r="I187" s="198" t="s">
        <v>541</v>
      </c>
      <c r="J187" s="198" t="s">
        <v>542</v>
      </c>
      <c r="K187" s="197">
        <v>1</v>
      </c>
      <c r="L187" s="205"/>
      <c r="M187" s="205"/>
      <c r="N187" s="198" t="s">
        <v>64</v>
      </c>
      <c r="O187" s="198" t="s">
        <v>328</v>
      </c>
      <c r="P187" s="198" t="s">
        <v>56</v>
      </c>
      <c r="Q187" s="198" t="s">
        <v>544</v>
      </c>
      <c r="R187" s="198" t="s">
        <v>323</v>
      </c>
      <c r="S187" s="205"/>
      <c r="T187" s="205"/>
      <c r="U187" s="197">
        <v>1</v>
      </c>
      <c r="V187" s="197">
        <v>0</v>
      </c>
      <c r="W187" s="197">
        <f t="shared" ref="W187:W192" si="128">+V187*U187</f>
        <v>0</v>
      </c>
      <c r="X187" s="206">
        <f t="shared" ref="X187:X192" si="129">SUM(Z187:AN187)</f>
        <v>17793.671933085501</v>
      </c>
      <c r="Y187" s="197">
        <f t="shared" ref="Y187:Y192" si="130">+W187+X187</f>
        <v>17793.671933085501</v>
      </c>
      <c r="Z187" s="207">
        <f>+$Z$4*U187</f>
        <v>223.2</v>
      </c>
      <c r="AA187" s="207">
        <f>+$AA$4*U187</f>
        <v>85.8</v>
      </c>
      <c r="AB187" s="207">
        <f>+$AB$4*U187</f>
        <v>16188</v>
      </c>
      <c r="AC187" s="207">
        <f t="shared" ref="AC187:AC192" si="131">+$AC$4*U187</f>
        <v>1296.6719330855017</v>
      </c>
      <c r="AD187" s="207"/>
      <c r="AE187" s="207">
        <f t="shared" ref="AE187:AE192" si="132">+W187*$AE$4</f>
        <v>0</v>
      </c>
      <c r="AF187" s="207"/>
      <c r="AG187" s="207">
        <f t="shared" ref="AG187:AG192" si="133">+W187*$AG$4</f>
        <v>0</v>
      </c>
      <c r="AH187" s="207">
        <f t="shared" ref="AH187:AH192" si="134">+W187*$AH$4</f>
        <v>0</v>
      </c>
      <c r="AI187" s="207"/>
      <c r="AJ187" s="204">
        <f t="shared" ref="AJ187:AJ192" si="135">SUM(IF(V187&gt;65999,((66000*$AJ$4)*U187),(IF(V187&lt;66000,($AJ$4*(W187))))))</f>
        <v>0</v>
      </c>
      <c r="AK187" s="207">
        <f t="shared" ref="AK187:AK192" si="136">+W187*$AK$4</f>
        <v>0</v>
      </c>
      <c r="AL187" s="207"/>
      <c r="AM187" s="204">
        <f t="shared" ref="AM187:AM192" si="137">SUM(IF(V187&gt;132900,((132900*$AM$4)*U187),(IF(V187&lt;132900,($AM$4*(W187))))))</f>
        <v>0</v>
      </c>
      <c r="AN187" s="207">
        <f t="shared" ref="AN187:AN192" si="138">+W187*$AN$4</f>
        <v>0</v>
      </c>
      <c r="AO187" s="217">
        <f t="shared" ref="AO187:AO192" si="139">IF(H187="C",IF(G187&lt;15,W187-(W187/1.025),0),0)</f>
        <v>0</v>
      </c>
      <c r="AP187" s="217">
        <f t="shared" ref="AP187:AP192" si="140">IF(H187="M",IF(G187&lt;15,W187-(W187/1.025),0),0)</f>
        <v>0</v>
      </c>
    </row>
    <row r="188" spans="1:42" ht="13.5" thickBot="1">
      <c r="B188" s="198" t="s">
        <v>1047</v>
      </c>
      <c r="C188" s="198" t="s">
        <v>478</v>
      </c>
      <c r="D188" s="198"/>
      <c r="E188" s="198"/>
      <c r="F188" s="198"/>
      <c r="G188" s="197"/>
      <c r="H188" s="197" t="str">
        <f t="shared" si="127"/>
        <v>C</v>
      </c>
      <c r="I188" s="198" t="s">
        <v>541</v>
      </c>
      <c r="J188" s="198" t="s">
        <v>542</v>
      </c>
      <c r="K188" s="197">
        <v>1</v>
      </c>
      <c r="L188" s="197"/>
      <c r="M188" s="197"/>
      <c r="N188" s="198" t="s">
        <v>64</v>
      </c>
      <c r="O188" s="198" t="s">
        <v>343</v>
      </c>
      <c r="P188" s="198" t="s">
        <v>57</v>
      </c>
      <c r="Q188" s="198" t="s">
        <v>544</v>
      </c>
      <c r="R188" s="198" t="s">
        <v>345</v>
      </c>
      <c r="S188" s="205"/>
      <c r="T188" s="205"/>
      <c r="U188" s="197">
        <v>1</v>
      </c>
      <c r="V188" s="197">
        <v>54104.04</v>
      </c>
      <c r="W188" s="197">
        <f t="shared" si="128"/>
        <v>54104.04</v>
      </c>
      <c r="X188" s="206">
        <f t="shared" si="129"/>
        <v>36533.0390194055</v>
      </c>
      <c r="Y188" s="197">
        <f t="shared" si="130"/>
        <v>90637.079019405501</v>
      </c>
      <c r="Z188" s="207">
        <f>+$Z$4*U188</f>
        <v>223.2</v>
      </c>
      <c r="AA188" s="207">
        <f>+$AA$4*U188</f>
        <v>85.8</v>
      </c>
      <c r="AB188" s="207">
        <f>+$AB$4*U188</f>
        <v>16188</v>
      </c>
      <c r="AC188" s="207">
        <f t="shared" si="131"/>
        <v>1296.6719330855017</v>
      </c>
      <c r="AD188" s="207"/>
      <c r="AE188" s="207">
        <f t="shared" si="132"/>
        <v>1060.4391840000001</v>
      </c>
      <c r="AF188" s="207"/>
      <c r="AG188" s="207">
        <f t="shared" si="133"/>
        <v>784.50858000000005</v>
      </c>
      <c r="AH188" s="207">
        <f t="shared" si="134"/>
        <v>533.35762632000001</v>
      </c>
      <c r="AI188" s="207"/>
      <c r="AJ188" s="204">
        <f t="shared" si="135"/>
        <v>535.62999600000001</v>
      </c>
      <c r="AK188" s="207">
        <f t="shared" si="136"/>
        <v>27.052020000000002</v>
      </c>
      <c r="AL188" s="207"/>
      <c r="AM188" s="204">
        <f t="shared" si="137"/>
        <v>3354.45048</v>
      </c>
      <c r="AN188" s="207">
        <f t="shared" si="138"/>
        <v>12443.9292</v>
      </c>
      <c r="AO188" s="217">
        <f t="shared" si="139"/>
        <v>1319.6107317073111</v>
      </c>
      <c r="AP188" s="217">
        <f t="shared" si="140"/>
        <v>0</v>
      </c>
    </row>
    <row r="189" spans="1:42" ht="12.75" customHeight="1" thickBot="1">
      <c r="B189" s="199" t="s">
        <v>427</v>
      </c>
      <c r="C189" s="199" t="s">
        <v>428</v>
      </c>
      <c r="D189" s="199"/>
      <c r="E189" s="199"/>
      <c r="F189" s="199" t="s">
        <v>651</v>
      </c>
      <c r="G189" s="200">
        <v>1</v>
      </c>
      <c r="H189" s="197" t="str">
        <f t="shared" si="127"/>
        <v>C</v>
      </c>
      <c r="I189" s="266" t="s">
        <v>937</v>
      </c>
      <c r="J189" s="199" t="s">
        <v>542</v>
      </c>
      <c r="K189" s="200">
        <v>0</v>
      </c>
      <c r="L189" s="200">
        <v>100</v>
      </c>
      <c r="M189" s="200">
        <v>0</v>
      </c>
      <c r="N189" s="199" t="s">
        <v>64</v>
      </c>
      <c r="O189" s="199" t="s">
        <v>321</v>
      </c>
      <c r="P189" s="198">
        <v>13</v>
      </c>
      <c r="Q189" s="199" t="s">
        <v>74</v>
      </c>
      <c r="R189" s="199" t="s">
        <v>323</v>
      </c>
      <c r="S189" s="199" t="s">
        <v>194</v>
      </c>
      <c r="T189" s="201"/>
      <c r="U189" s="200">
        <v>0</v>
      </c>
      <c r="V189" s="200"/>
      <c r="W189" s="200">
        <f t="shared" si="128"/>
        <v>0</v>
      </c>
      <c r="X189" s="202">
        <f t="shared" si="129"/>
        <v>0</v>
      </c>
      <c r="Y189" s="200">
        <f t="shared" si="130"/>
        <v>0</v>
      </c>
      <c r="Z189" s="203"/>
      <c r="AA189" s="203"/>
      <c r="AB189" s="203"/>
      <c r="AC189" s="203">
        <f t="shared" si="131"/>
        <v>0</v>
      </c>
      <c r="AD189" s="203"/>
      <c r="AE189" s="203">
        <f t="shared" si="132"/>
        <v>0</v>
      </c>
      <c r="AF189" s="203"/>
      <c r="AG189" s="203">
        <f t="shared" si="133"/>
        <v>0</v>
      </c>
      <c r="AH189" s="203">
        <f t="shared" si="134"/>
        <v>0</v>
      </c>
      <c r="AI189" s="203"/>
      <c r="AJ189" s="204">
        <f t="shared" si="135"/>
        <v>0</v>
      </c>
      <c r="AK189" s="203">
        <f t="shared" si="136"/>
        <v>0</v>
      </c>
      <c r="AL189" s="203"/>
      <c r="AM189" s="204">
        <f t="shared" si="137"/>
        <v>0</v>
      </c>
      <c r="AN189" s="203">
        <f t="shared" si="138"/>
        <v>0</v>
      </c>
      <c r="AO189" s="217">
        <f t="shared" si="139"/>
        <v>0</v>
      </c>
      <c r="AP189" s="217">
        <f t="shared" si="140"/>
        <v>0</v>
      </c>
    </row>
    <row r="190" spans="1:42" ht="12.75" customHeight="1" thickBot="1">
      <c r="B190" s="199" t="s">
        <v>1048</v>
      </c>
      <c r="C190" s="199" t="s">
        <v>1049</v>
      </c>
      <c r="D190" s="201"/>
      <c r="E190" s="201"/>
      <c r="F190" s="201"/>
      <c r="G190" s="201"/>
      <c r="H190" s="197" t="str">
        <f t="shared" si="127"/>
        <v>C</v>
      </c>
      <c r="I190" s="266" t="s">
        <v>937</v>
      </c>
      <c r="J190" s="199" t="s">
        <v>542</v>
      </c>
      <c r="K190" s="200">
        <v>0</v>
      </c>
      <c r="L190" s="201"/>
      <c r="M190" s="201"/>
      <c r="N190" s="199" t="s">
        <v>64</v>
      </c>
      <c r="O190" s="199" t="s">
        <v>343</v>
      </c>
      <c r="P190" s="198">
        <v>14</v>
      </c>
      <c r="Q190" s="199" t="s">
        <v>74</v>
      </c>
      <c r="R190" s="199" t="s">
        <v>345</v>
      </c>
      <c r="S190" s="201"/>
      <c r="T190" s="201"/>
      <c r="U190" s="200">
        <v>0</v>
      </c>
      <c r="V190" s="200"/>
      <c r="W190" s="200">
        <f t="shared" si="128"/>
        <v>0</v>
      </c>
      <c r="X190" s="202">
        <f t="shared" si="129"/>
        <v>0</v>
      </c>
      <c r="Y190" s="200">
        <f t="shared" si="130"/>
        <v>0</v>
      </c>
      <c r="Z190" s="203"/>
      <c r="AA190" s="203"/>
      <c r="AB190" s="203"/>
      <c r="AC190" s="203">
        <f t="shared" si="131"/>
        <v>0</v>
      </c>
      <c r="AD190" s="203"/>
      <c r="AE190" s="203">
        <f t="shared" si="132"/>
        <v>0</v>
      </c>
      <c r="AF190" s="203"/>
      <c r="AG190" s="203">
        <f t="shared" si="133"/>
        <v>0</v>
      </c>
      <c r="AH190" s="203">
        <f t="shared" si="134"/>
        <v>0</v>
      </c>
      <c r="AI190" s="203"/>
      <c r="AJ190" s="204">
        <f t="shared" si="135"/>
        <v>0</v>
      </c>
      <c r="AK190" s="203">
        <f t="shared" si="136"/>
        <v>0</v>
      </c>
      <c r="AL190" s="203"/>
      <c r="AM190" s="204">
        <f t="shared" si="137"/>
        <v>0</v>
      </c>
      <c r="AN190" s="203">
        <f t="shared" si="138"/>
        <v>0</v>
      </c>
      <c r="AO190" s="217">
        <f t="shared" si="139"/>
        <v>0</v>
      </c>
      <c r="AP190" s="217">
        <f t="shared" si="140"/>
        <v>0</v>
      </c>
    </row>
    <row r="191" spans="1:42" ht="12.75" customHeight="1" thickBot="1">
      <c r="B191" s="199" t="s">
        <v>1050</v>
      </c>
      <c r="C191" s="199" t="s">
        <v>933</v>
      </c>
      <c r="D191" s="199" t="s">
        <v>771</v>
      </c>
      <c r="E191" s="199" t="s">
        <v>772</v>
      </c>
      <c r="F191" s="266" t="s">
        <v>746</v>
      </c>
      <c r="G191" s="267">
        <v>1</v>
      </c>
      <c r="H191" s="197" t="str">
        <f t="shared" si="127"/>
        <v>C</v>
      </c>
      <c r="I191" s="266" t="s">
        <v>937</v>
      </c>
      <c r="J191" s="265" t="s">
        <v>542</v>
      </c>
      <c r="K191" s="268">
        <v>0</v>
      </c>
      <c r="L191" s="200">
        <v>100</v>
      </c>
      <c r="M191" s="268">
        <v>0</v>
      </c>
      <c r="N191" s="199" t="s">
        <v>64</v>
      </c>
      <c r="O191" s="199" t="s">
        <v>367</v>
      </c>
      <c r="P191" s="198">
        <v>14</v>
      </c>
      <c r="Q191" s="199" t="s">
        <v>74</v>
      </c>
      <c r="R191" s="199" t="s">
        <v>345</v>
      </c>
      <c r="S191" s="201"/>
      <c r="T191" s="201"/>
      <c r="U191" s="200">
        <v>0</v>
      </c>
      <c r="V191" s="200"/>
      <c r="W191" s="200">
        <f t="shared" si="128"/>
        <v>0</v>
      </c>
      <c r="X191" s="202">
        <f t="shared" si="129"/>
        <v>0</v>
      </c>
      <c r="Y191" s="200">
        <f t="shared" si="130"/>
        <v>0</v>
      </c>
      <c r="Z191" s="203"/>
      <c r="AA191" s="203"/>
      <c r="AB191" s="203"/>
      <c r="AC191" s="203">
        <f t="shared" si="131"/>
        <v>0</v>
      </c>
      <c r="AD191" s="203"/>
      <c r="AE191" s="203">
        <f t="shared" si="132"/>
        <v>0</v>
      </c>
      <c r="AF191" s="203"/>
      <c r="AG191" s="203">
        <f t="shared" si="133"/>
        <v>0</v>
      </c>
      <c r="AH191" s="203">
        <f t="shared" si="134"/>
        <v>0</v>
      </c>
      <c r="AI191" s="203"/>
      <c r="AJ191" s="204">
        <f t="shared" si="135"/>
        <v>0</v>
      </c>
      <c r="AK191" s="203">
        <f t="shared" si="136"/>
        <v>0</v>
      </c>
      <c r="AL191" s="203"/>
      <c r="AM191" s="204">
        <f t="shared" si="137"/>
        <v>0</v>
      </c>
      <c r="AN191" s="203">
        <f t="shared" si="138"/>
        <v>0</v>
      </c>
      <c r="AO191" s="217">
        <f t="shared" si="139"/>
        <v>0</v>
      </c>
      <c r="AP191" s="217">
        <f t="shared" si="140"/>
        <v>0</v>
      </c>
    </row>
    <row r="192" spans="1:42" ht="13.5" thickBot="1">
      <c r="B192" s="198" t="s">
        <v>1051</v>
      </c>
      <c r="C192" s="198" t="s">
        <v>1052</v>
      </c>
      <c r="D192" s="205"/>
      <c r="E192" s="205"/>
      <c r="F192" s="205"/>
      <c r="G192" s="205"/>
      <c r="H192" s="197" t="str">
        <f t="shared" si="127"/>
        <v>M</v>
      </c>
      <c r="I192" s="198" t="s">
        <v>559</v>
      </c>
      <c r="J192" s="198" t="s">
        <v>542</v>
      </c>
      <c r="K192" s="197">
        <v>0</v>
      </c>
      <c r="L192" s="205"/>
      <c r="M192" s="205"/>
      <c r="N192" s="198" t="s">
        <v>1053</v>
      </c>
      <c r="O192" s="198" t="s">
        <v>1054</v>
      </c>
      <c r="P192" s="198">
        <v>11</v>
      </c>
      <c r="Q192" s="198" t="s">
        <v>560</v>
      </c>
      <c r="R192" s="198" t="s">
        <v>211</v>
      </c>
      <c r="S192" s="205"/>
      <c r="T192" s="205"/>
      <c r="U192" s="197">
        <v>0</v>
      </c>
      <c r="V192" s="197"/>
      <c r="W192" s="197">
        <f t="shared" si="128"/>
        <v>0</v>
      </c>
      <c r="X192" s="206">
        <f t="shared" si="129"/>
        <v>0</v>
      </c>
      <c r="Y192" s="197">
        <f t="shared" si="130"/>
        <v>0</v>
      </c>
      <c r="Z192" s="207"/>
      <c r="AA192" s="207"/>
      <c r="AB192" s="207"/>
      <c r="AC192" s="207">
        <f t="shared" si="131"/>
        <v>0</v>
      </c>
      <c r="AD192" s="207"/>
      <c r="AE192" s="207">
        <f t="shared" si="132"/>
        <v>0</v>
      </c>
      <c r="AF192" s="207"/>
      <c r="AG192" s="207">
        <f t="shared" si="133"/>
        <v>0</v>
      </c>
      <c r="AH192" s="207">
        <f t="shared" si="134"/>
        <v>0</v>
      </c>
      <c r="AI192" s="207"/>
      <c r="AJ192" s="204">
        <f t="shared" si="135"/>
        <v>0</v>
      </c>
      <c r="AK192" s="207">
        <f t="shared" si="136"/>
        <v>0</v>
      </c>
      <c r="AL192" s="207"/>
      <c r="AM192" s="204">
        <f t="shared" si="137"/>
        <v>0</v>
      </c>
      <c r="AN192" s="207">
        <f t="shared" si="138"/>
        <v>0</v>
      </c>
      <c r="AO192" s="217">
        <f t="shared" si="139"/>
        <v>0</v>
      </c>
      <c r="AP192" s="217">
        <f t="shared" si="140"/>
        <v>0</v>
      </c>
    </row>
  </sheetData>
  <autoFilter ref="B5:AN183" xr:uid="{00000000-0009-0000-0000-000005000000}">
    <filterColumn colId="14">
      <filters>
        <filter val="13"/>
      </filters>
    </filterColumn>
    <sortState xmlns:xlrd2="http://schemas.microsoft.com/office/spreadsheetml/2017/richdata2" ref="B6:AN184">
      <sortCondition ref="B5:B183"/>
    </sortState>
  </autoFilter>
  <sortState xmlns:xlrd2="http://schemas.microsoft.com/office/spreadsheetml/2017/richdata2" ref="B6:AN183">
    <sortCondition ref="N6:N183"/>
  </sortState>
  <phoneticPr fontId="30" type="noConversion"/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F95EF-CE63-467F-A10D-3A122307914D}">
  <dimension ref="A1:D15"/>
  <sheetViews>
    <sheetView workbookViewId="0">
      <selection activeCell="C5" sqref="C5"/>
    </sheetView>
  </sheetViews>
  <sheetFormatPr defaultRowHeight="12.75"/>
  <cols>
    <col min="1" max="1" width="13.7109375" bestFit="1" customWidth="1"/>
    <col min="2" max="2" width="19.5703125" bestFit="1" customWidth="1"/>
    <col min="3" max="3" width="13.28515625" bestFit="1" customWidth="1"/>
    <col min="4" max="4" width="10.5703125" bestFit="1" customWidth="1"/>
  </cols>
  <sheetData>
    <row r="1" spans="1:4" s="308" customFormat="1"/>
    <row r="2" spans="1:4" s="308" customFormat="1"/>
    <row r="3" spans="1:4">
      <c r="A3" s="310" t="s">
        <v>422</v>
      </c>
      <c r="B3" s="308" t="s">
        <v>1055</v>
      </c>
      <c r="C3" s="308" t="s">
        <v>1056</v>
      </c>
      <c r="D3" s="308"/>
    </row>
    <row r="4" spans="1:4">
      <c r="A4" s="309" t="s">
        <v>64</v>
      </c>
      <c r="B4" s="311">
        <v>1796917.6379999998</v>
      </c>
      <c r="C4" s="85">
        <f>[3]Premise!$D$49</f>
        <v>3.7202380952381375E-3</v>
      </c>
      <c r="D4" s="308" t="s">
        <v>1057</v>
      </c>
    </row>
    <row r="5" spans="1:4">
      <c r="A5" s="325">
        <v>10</v>
      </c>
      <c r="B5" s="311">
        <v>66644.159999999989</v>
      </c>
      <c r="C5" s="90">
        <f>+B5*(1+$C$4)</f>
        <v>66892.092142857131</v>
      </c>
      <c r="D5" s="66">
        <f>+C5-B5</f>
        <v>247.93214285714203</v>
      </c>
    </row>
    <row r="6" spans="1:4">
      <c r="A6" s="325">
        <v>11</v>
      </c>
      <c r="B6" s="311">
        <v>74974.679999999993</v>
      </c>
      <c r="C6" s="90">
        <f t="shared" ref="C6:C14" si="0">+B6*(1+$C$4)</f>
        <v>75253.603660714289</v>
      </c>
      <c r="D6" s="66">
        <f t="shared" ref="D6:D14" si="1">+C6-B6</f>
        <v>278.92366071429569</v>
      </c>
    </row>
    <row r="7" spans="1:4">
      <c r="A7" s="325">
        <v>12</v>
      </c>
      <c r="B7" s="311">
        <v>362377.61999999988</v>
      </c>
      <c r="C7" s="90">
        <f t="shared" si="0"/>
        <v>363725.75102678558</v>
      </c>
      <c r="D7" s="66">
        <f t="shared" si="1"/>
        <v>1348.1310267857043</v>
      </c>
    </row>
    <row r="8" spans="1:4">
      <c r="A8" s="325">
        <v>13</v>
      </c>
      <c r="B8" s="311">
        <v>583136.39999999979</v>
      </c>
      <c r="C8" s="90">
        <f t="shared" si="0"/>
        <v>585305.80624999979</v>
      </c>
      <c r="D8" s="66">
        <f t="shared" si="1"/>
        <v>2169.40625</v>
      </c>
    </row>
    <row r="9" spans="1:4">
      <c r="A9" s="325">
        <v>14</v>
      </c>
      <c r="B9" s="311">
        <v>409886.05799999984</v>
      </c>
      <c r="C9" s="90">
        <f t="shared" si="0"/>
        <v>411410.93172767846</v>
      </c>
      <c r="D9" s="66">
        <f t="shared" si="1"/>
        <v>1524.8737276786123</v>
      </c>
    </row>
    <row r="10" spans="1:4">
      <c r="A10" s="325">
        <v>15</v>
      </c>
      <c r="B10" s="311">
        <v>33322.079999999994</v>
      </c>
      <c r="C10" s="90">
        <f t="shared" si="0"/>
        <v>33446.046071428565</v>
      </c>
      <c r="D10" s="66">
        <f t="shared" si="1"/>
        <v>123.96607142857101</v>
      </c>
    </row>
    <row r="11" spans="1:4">
      <c r="A11" s="325">
        <v>16</v>
      </c>
      <c r="B11" s="311"/>
      <c r="C11" s="90">
        <f t="shared" si="0"/>
        <v>0</v>
      </c>
      <c r="D11" s="66">
        <f t="shared" si="1"/>
        <v>0</v>
      </c>
    </row>
    <row r="12" spans="1:4">
      <c r="A12" s="325" t="s">
        <v>60</v>
      </c>
      <c r="B12" s="311">
        <v>116627.27999999997</v>
      </c>
      <c r="C12" s="90">
        <f t="shared" si="0"/>
        <v>117061.16124999998</v>
      </c>
      <c r="D12" s="66">
        <f t="shared" si="1"/>
        <v>433.88125000000582</v>
      </c>
    </row>
    <row r="13" spans="1:4">
      <c r="A13" s="325" t="s">
        <v>61</v>
      </c>
      <c r="B13" s="311">
        <v>133288.31999999998</v>
      </c>
      <c r="C13" s="90">
        <f t="shared" si="0"/>
        <v>133784.18428571426</v>
      </c>
      <c r="D13" s="66">
        <f t="shared" si="1"/>
        <v>495.86428571428405</v>
      </c>
    </row>
    <row r="14" spans="1:4">
      <c r="A14" s="325" t="s">
        <v>62</v>
      </c>
      <c r="B14" s="311">
        <v>16661.039999999997</v>
      </c>
      <c r="C14" s="90">
        <f t="shared" si="0"/>
        <v>16723.023035714283</v>
      </c>
      <c r="D14" s="66">
        <f t="shared" si="1"/>
        <v>61.983035714285506</v>
      </c>
    </row>
    <row r="15" spans="1:4">
      <c r="A15" s="309" t="s">
        <v>63</v>
      </c>
      <c r="B15" s="311">
        <v>1796917.6379999998</v>
      </c>
      <c r="C15" s="66">
        <f>SUM(C5:C14)</f>
        <v>1803602.5994508923</v>
      </c>
      <c r="D15" s="66">
        <f>SUM(D5:D14)</f>
        <v>6684.9614508929008</v>
      </c>
    </row>
  </sheetData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9C682B3738604481737361F2B4BB01" ma:contentTypeVersion="" ma:contentTypeDescription="Create a new document." ma:contentTypeScope="" ma:versionID="5689ac7c45ef960f28e90bd1dd3148b3">
  <xsd:schema xmlns:xsd="http://www.w3.org/2001/XMLSchema" xmlns:xs="http://www.w3.org/2001/XMLSchema" xmlns:p="http://schemas.microsoft.com/office/2006/metadata/properties" xmlns:ns2="454fd486-4e42-4a7f-bc2f-e2145d19cd8b" xmlns:ns3="08a13d9d-7754-4cbf-8bc2-0b56b2260ff0" targetNamespace="http://schemas.microsoft.com/office/2006/metadata/properties" ma:root="true" ma:fieldsID="b8c7f0f0bf5e7861dc33bc7cf20b717a" ns2:_="" ns3:_="">
    <xsd:import namespace="454fd486-4e42-4a7f-bc2f-e2145d19cd8b"/>
    <xsd:import namespace="08a13d9d-7754-4cbf-8bc2-0b56b2260f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fd486-4e42-4a7f-bc2f-e2145d19cd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13d9d-7754-4cbf-8bc2-0b56b2260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6A854A-C552-4A60-B58E-B134256F0DBA}"/>
</file>

<file path=customXml/itemProps2.xml><?xml version="1.0" encoding="utf-8"?>
<ds:datastoreItem xmlns:ds="http://schemas.openxmlformats.org/officeDocument/2006/customXml" ds:itemID="{33489E1A-B2E9-4D91-97D5-13196E1CE08E}"/>
</file>

<file path=customXml/itemProps3.xml><?xml version="1.0" encoding="utf-8"?>
<ds:datastoreItem xmlns:ds="http://schemas.openxmlformats.org/officeDocument/2006/customXml" ds:itemID="{4DDBC9E8-67D9-40B4-B451-40E76A4B4C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Kern Community College District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Martin</dc:creator>
  <cp:keywords/>
  <dc:description/>
  <cp:lastModifiedBy/>
  <cp:revision/>
  <dcterms:created xsi:type="dcterms:W3CDTF">2019-12-05T22:15:04Z</dcterms:created>
  <dcterms:modified xsi:type="dcterms:W3CDTF">2021-03-18T16:42:50Z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0x010100DD9C682B3738604481737361F2B4BB01</vt:lpwstr>
  </property>
</Properties>
</file>