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Budgets\FY 20-21\Tentative Budget\Allocations\"/>
    </mc:Choice>
  </mc:AlternateContent>
  <bookViews>
    <workbookView xWindow="6375" yWindow="345" windowWidth="9630" windowHeight="5835" activeTab="1"/>
  </bookViews>
  <sheets>
    <sheet name="Recon" sheetId="18" r:id="rId1"/>
    <sheet name="Summary Allocations" sheetId="1" r:id="rId2"/>
    <sheet name="Beginning Balances" sheetId="19" r:id="rId3"/>
    <sheet name="Budget Premisis" sheetId="6" r:id="rId4"/>
    <sheet name="Income to be Allocated" sheetId="8" r:id="rId5"/>
    <sheet name="Apportionment" sheetId="13" r:id="rId6"/>
    <sheet name="Foundation Calculations" sheetId="2" r:id="rId7"/>
    <sheet name="District Costs" sheetId="4" r:id="rId8"/>
    <sheet name="Base FTES Allocations" sheetId="5" r:id="rId9"/>
    <sheet name="Base Adj" sheetId="16" r:id="rId10"/>
    <sheet name="FTES COLA Allocation" sheetId="12" r:id="rId11"/>
    <sheet name="FTES Growth Allocations" sheetId="11" r:id="rId12"/>
    <sheet name="Deficit Adj" sheetId="15" r:id="rId13"/>
    <sheet name="FTES Decline Mechanism" sheetId="7" r:id="rId14"/>
    <sheet name="Other Income  Inc -Decline " sheetId="10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Print_Area" localSheetId="4">'Income to be Allocated'!$A$1:$D$26</definedName>
    <definedName name="_xlnm.Print_Area" localSheetId="1">'Summary Allocations'!$A$1:$I$78</definedName>
    <definedName name="_xlnm.Print_Titles" localSheetId="1">'Summary Allocations'!$1:$1</definedName>
  </definedNames>
  <calcPr calcId="162913"/>
</workbook>
</file>

<file path=xl/calcChain.xml><?xml version="1.0" encoding="utf-8"?>
<calcChain xmlns="http://schemas.openxmlformats.org/spreadsheetml/2006/main">
  <c r="D31" i="10" l="1"/>
  <c r="E31" i="10"/>
  <c r="C31" i="10"/>
  <c r="D22" i="16"/>
  <c r="E22" i="16"/>
  <c r="C22" i="16"/>
  <c r="C20" i="5"/>
  <c r="D20" i="5"/>
  <c r="B20" i="5"/>
  <c r="C14" i="6"/>
  <c r="B14" i="6" l="1"/>
  <c r="B24" i="6"/>
  <c r="D9" i="5"/>
  <c r="C9" i="5"/>
  <c r="B9" i="5"/>
  <c r="D8" i="5"/>
  <c r="C8" i="5"/>
  <c r="B8" i="5"/>
  <c r="D14" i="6" l="1"/>
  <c r="B16" i="5" s="1"/>
  <c r="B17" i="5"/>
  <c r="D10" i="6"/>
  <c r="D9" i="6"/>
  <c r="D11" i="6"/>
  <c r="B11" i="6"/>
  <c r="E26" i="18" l="1"/>
  <c r="F26" i="18"/>
  <c r="F24" i="18"/>
  <c r="C22" i="18"/>
  <c r="D22" i="18"/>
  <c r="B22" i="18"/>
  <c r="E20" i="18"/>
  <c r="F20" i="18"/>
  <c r="E18" i="18"/>
  <c r="E16" i="18"/>
  <c r="F16" i="18"/>
  <c r="E14" i="18"/>
  <c r="F14" i="18"/>
  <c r="E12" i="18"/>
  <c r="F12" i="18"/>
  <c r="E9" i="18"/>
  <c r="F9" i="18"/>
  <c r="E7" i="18"/>
  <c r="I7" i="18" s="1"/>
  <c r="D21" i="6" l="1"/>
  <c r="G36" i="6"/>
  <c r="G44" i="6" l="1"/>
  <c r="B37" i="6" s="1"/>
  <c r="G42" i="6"/>
  <c r="B38" i="6" l="1"/>
  <c r="B36" i="6"/>
  <c r="H63" i="1"/>
  <c r="F5" i="18" s="1"/>
  <c r="G63" i="1"/>
  <c r="E5" i="18" s="1"/>
  <c r="F63" i="1"/>
  <c r="D5" i="18" s="1"/>
  <c r="E63" i="1"/>
  <c r="C5" i="18" s="1"/>
  <c r="D63" i="1"/>
  <c r="B5" i="18" s="1"/>
  <c r="F5" i="4" l="1"/>
  <c r="E5" i="4"/>
  <c r="F15" i="2" l="1"/>
  <c r="E15" i="2"/>
  <c r="F18" i="1"/>
  <c r="F21" i="1" s="1"/>
  <c r="D9" i="18" s="1"/>
  <c r="E18" i="1"/>
  <c r="E21" i="1" s="1"/>
  <c r="C9" i="18" s="1"/>
  <c r="D18" i="1"/>
  <c r="D21" i="1" s="1"/>
  <c r="B9" i="18" s="1"/>
  <c r="P28" i="1"/>
  <c r="C337" i="13" l="1"/>
  <c r="C338" i="13"/>
  <c r="B347" i="13"/>
  <c r="B338" i="13"/>
  <c r="B337" i="13"/>
  <c r="B21" i="6"/>
  <c r="B29" i="6"/>
  <c r="D20" i="6"/>
  <c r="D19" i="6"/>
  <c r="E28" i="1"/>
  <c r="F28" i="1"/>
  <c r="D28" i="1"/>
  <c r="E10" i="19" l="1"/>
  <c r="F9" i="19"/>
  <c r="D9" i="19"/>
  <c r="C9" i="19"/>
  <c r="B9" i="19"/>
  <c r="E7" i="19"/>
  <c r="F6" i="19"/>
  <c r="D6" i="19"/>
  <c r="C6" i="19"/>
  <c r="B6" i="19"/>
  <c r="G6" i="19" l="1"/>
  <c r="B7" i="19"/>
  <c r="B10" i="19" s="1"/>
  <c r="G9" i="19"/>
  <c r="C5" i="19"/>
  <c r="C7" i="19" s="1"/>
  <c r="C10" i="19" s="1"/>
  <c r="D5" i="19"/>
  <c r="D7" i="19" s="1"/>
  <c r="D10" i="19" s="1"/>
  <c r="F5" i="19"/>
  <c r="F7" i="19" s="1"/>
  <c r="F10" i="19" s="1"/>
  <c r="B5" i="19"/>
  <c r="C25" i="8" l="1"/>
  <c r="C6" i="13"/>
  <c r="F13" i="2"/>
  <c r="B349" i="13"/>
  <c r="B352" i="13" s="1"/>
  <c r="C348" i="13"/>
  <c r="D348" i="13" s="1"/>
  <c r="C28" i="8"/>
  <c r="C22" i="8"/>
  <c r="C7" i="8"/>
  <c r="O77" i="1" l="1"/>
  <c r="G76" i="1"/>
  <c r="F76" i="1"/>
  <c r="E76" i="1"/>
  <c r="D76" i="1"/>
  <c r="G75" i="1"/>
  <c r="F75" i="1"/>
  <c r="E75" i="1"/>
  <c r="D75" i="1"/>
  <c r="E10" i="8" l="1"/>
  <c r="G317" i="13" l="1"/>
  <c r="B328" i="13"/>
  <c r="B331" i="13" s="1"/>
  <c r="C327" i="13"/>
  <c r="D327" i="13" s="1"/>
  <c r="C326" i="13"/>
  <c r="D326" i="13" s="1"/>
  <c r="D328" i="13" s="1"/>
  <c r="B315" i="13"/>
  <c r="B319" i="13" s="1"/>
  <c r="G318" i="13" l="1"/>
  <c r="D297" i="13" l="1"/>
  <c r="H282" i="13" l="1"/>
  <c r="D260" i="13" l="1"/>
  <c r="D255" i="13"/>
  <c r="D254" i="13"/>
  <c r="D253" i="13"/>
  <c r="D252" i="13"/>
  <c r="D251" i="13"/>
  <c r="D281" i="13" l="1"/>
  <c r="D273" i="13"/>
  <c r="D294" i="13" s="1"/>
  <c r="D315" i="13" s="1"/>
  <c r="B307" i="13"/>
  <c r="B310" i="13" s="1"/>
  <c r="C306" i="13"/>
  <c r="D306" i="13" s="1"/>
  <c r="C305" i="13"/>
  <c r="D305" i="13" s="1"/>
  <c r="B294" i="13"/>
  <c r="B298" i="13" s="1"/>
  <c r="D275" i="13"/>
  <c r="D296" i="13" s="1"/>
  <c r="D317" i="13" s="1"/>
  <c r="D274" i="13"/>
  <c r="D295" i="13" s="1"/>
  <c r="D316" i="13" s="1"/>
  <c r="D272" i="13"/>
  <c r="E253" i="13"/>
  <c r="B252" i="13"/>
  <c r="D293" i="13" l="1"/>
  <c r="D314" i="13" s="1"/>
  <c r="E316" i="13"/>
  <c r="D307" i="13"/>
  <c r="E295" i="13"/>
  <c r="D319" i="13" l="1"/>
  <c r="E326" i="13" s="1"/>
  <c r="D298" i="13"/>
  <c r="D300" i="13" s="1"/>
  <c r="E298" i="13"/>
  <c r="E319" i="13" l="1"/>
  <c r="D321" i="13"/>
  <c r="E305" i="13"/>
  <c r="E321" i="13"/>
  <c r="B273" i="13" l="1"/>
  <c r="C45" i="4" l="1"/>
  <c r="G270" i="13" l="1"/>
  <c r="G271" i="13" s="1"/>
  <c r="G272" i="13" s="1"/>
  <c r="G274" i="13" l="1"/>
  <c r="G275" i="13" s="1"/>
  <c r="G277" i="13" l="1"/>
  <c r="H283" i="13" s="1"/>
  <c r="H284" i="13" s="1"/>
  <c r="H286" i="13" s="1"/>
  <c r="B286" i="13"/>
  <c r="B289" i="13" s="1"/>
  <c r="C285" i="13"/>
  <c r="D285" i="13" s="1"/>
  <c r="C284" i="13"/>
  <c r="D284" i="13" s="1"/>
  <c r="B277" i="13"/>
  <c r="E274" i="13"/>
  <c r="D277" i="13"/>
  <c r="D279" i="13" l="1"/>
  <c r="D286" i="13"/>
  <c r="E284" i="13" s="1"/>
  <c r="E277" i="13" l="1"/>
  <c r="E300" i="13" s="1"/>
  <c r="H7" i="1" l="1"/>
  <c r="G7" i="1"/>
  <c r="G8" i="1" s="1"/>
  <c r="G12" i="1" s="1"/>
  <c r="E7" i="1"/>
  <c r="B8" i="12"/>
  <c r="I28" i="1"/>
  <c r="D10" i="8"/>
  <c r="D11" i="8"/>
  <c r="B8" i="10" s="1"/>
  <c r="D12" i="8"/>
  <c r="B9" i="10" s="1"/>
  <c r="D13" i="8"/>
  <c r="B10" i="10" s="1"/>
  <c r="B14" i="8"/>
  <c r="D14" i="8" s="1"/>
  <c r="B11" i="10" s="1"/>
  <c r="D15" i="8"/>
  <c r="B12" i="10" s="1"/>
  <c r="D16" i="8"/>
  <c r="B13" i="10" s="1"/>
  <c r="D17" i="8"/>
  <c r="B14" i="10" s="1"/>
  <c r="D18" i="8"/>
  <c r="B15" i="10" s="1"/>
  <c r="E177" i="13"/>
  <c r="D21" i="8"/>
  <c r="B17" i="10" s="1"/>
  <c r="D19" i="8"/>
  <c r="G10" i="8"/>
  <c r="F11" i="8" s="1"/>
  <c r="E11" i="8" s="1"/>
  <c r="G11" i="8" s="1"/>
  <c r="B265" i="13"/>
  <c r="B268" i="13" s="1"/>
  <c r="C264" i="13"/>
  <c r="D264" i="13" s="1"/>
  <c r="C263" i="13"/>
  <c r="D263" i="13" s="1"/>
  <c r="B231" i="13"/>
  <c r="D234" i="13"/>
  <c r="D208" i="13"/>
  <c r="C243" i="13"/>
  <c r="D243" i="13" s="1"/>
  <c r="C242" i="13"/>
  <c r="D242" i="13" s="1"/>
  <c r="B244" i="13"/>
  <c r="B247" i="13" s="1"/>
  <c r="C233" i="13"/>
  <c r="D233" i="13" s="1"/>
  <c r="D232" i="13"/>
  <c r="D36" i="6"/>
  <c r="C42" i="6"/>
  <c r="C48" i="6" s="1"/>
  <c r="B42" i="6"/>
  <c r="B48" i="6" s="1"/>
  <c r="C43" i="6"/>
  <c r="C49" i="6" s="1"/>
  <c r="C44" i="6"/>
  <c r="C50" i="6" s="1"/>
  <c r="C45" i="6"/>
  <c r="D8" i="11"/>
  <c r="D25" i="11" s="1"/>
  <c r="B44" i="6"/>
  <c r="B50" i="6" s="1"/>
  <c r="B43" i="6"/>
  <c r="C221" i="13"/>
  <c r="D221" i="13" s="1"/>
  <c r="C220" i="13"/>
  <c r="D220" i="13" s="1"/>
  <c r="D195" i="13"/>
  <c r="D210" i="13"/>
  <c r="C211" i="13"/>
  <c r="D211" i="13" s="1"/>
  <c r="G94" i="1"/>
  <c r="G95" i="1" s="1"/>
  <c r="E99" i="1"/>
  <c r="F99" i="1"/>
  <c r="D99" i="1"/>
  <c r="E95" i="1"/>
  <c r="F95" i="1"/>
  <c r="D95" i="1"/>
  <c r="C39" i="10"/>
  <c r="D43" i="1" s="1"/>
  <c r="D39" i="10"/>
  <c r="E39" i="10"/>
  <c r="F43" i="1"/>
  <c r="B9" i="11"/>
  <c r="B21" i="11" s="1"/>
  <c r="C9" i="11"/>
  <c r="C9" i="7" s="1"/>
  <c r="C26" i="7" s="1"/>
  <c r="D9" i="11"/>
  <c r="D21" i="11" s="1"/>
  <c r="B15" i="11"/>
  <c r="C15" i="11" s="1"/>
  <c r="D15" i="11" s="1"/>
  <c r="B16" i="11"/>
  <c r="C16" i="11" s="1"/>
  <c r="D16" i="11" s="1"/>
  <c r="B20" i="11"/>
  <c r="C20" i="11"/>
  <c r="D20" i="11"/>
  <c r="B24" i="11"/>
  <c r="C24" i="11"/>
  <c r="D24" i="11"/>
  <c r="C21" i="7"/>
  <c r="D21" i="7"/>
  <c r="B25" i="7"/>
  <c r="D25" i="7"/>
  <c r="C8" i="2"/>
  <c r="D9" i="2"/>
  <c r="C12" i="2"/>
  <c r="D15" i="2"/>
  <c r="C17" i="2"/>
  <c r="E18" i="2"/>
  <c r="C8" i="13"/>
  <c r="D22" i="13"/>
  <c r="D23" i="13"/>
  <c r="D24" i="13"/>
  <c r="D32" i="13"/>
  <c r="D33" i="13"/>
  <c r="B37" i="13"/>
  <c r="D37" i="13" s="1"/>
  <c r="D42" i="13"/>
  <c r="D43" i="13"/>
  <c r="B44" i="13"/>
  <c r="D48" i="13"/>
  <c r="K48" i="13" s="1"/>
  <c r="B51" i="13"/>
  <c r="E51" i="13" s="1"/>
  <c r="F51" i="13"/>
  <c r="D52" i="13"/>
  <c r="D63" i="13"/>
  <c r="D64" i="13"/>
  <c r="B66" i="13"/>
  <c r="B74" i="13"/>
  <c r="D74" i="13" s="1"/>
  <c r="D87" i="13"/>
  <c r="D89" i="13" s="1"/>
  <c r="B94" i="13"/>
  <c r="D94" i="13" s="1"/>
  <c r="B95" i="13"/>
  <c r="D95" i="13" s="1"/>
  <c r="D105" i="13"/>
  <c r="D106" i="13"/>
  <c r="D107" i="13"/>
  <c r="B108" i="13"/>
  <c r="B115" i="13"/>
  <c r="D115" i="13" s="1"/>
  <c r="B116" i="13"/>
  <c r="D116" i="13" s="1"/>
  <c r="D127" i="13"/>
  <c r="D128" i="13"/>
  <c r="B137" i="13"/>
  <c r="D137" i="13" s="1"/>
  <c r="D146" i="13"/>
  <c r="D147" i="13"/>
  <c r="D148" i="13"/>
  <c r="B149" i="13"/>
  <c r="B156" i="13"/>
  <c r="B158" i="13" s="1"/>
  <c r="B161" i="13" s="1"/>
  <c r="D161" i="13" s="1"/>
  <c r="C156" i="13"/>
  <c r="C157" i="13"/>
  <c r="D166" i="13"/>
  <c r="C167" i="13"/>
  <c r="C177" i="13" s="1"/>
  <c r="D177" i="13" s="1"/>
  <c r="D179" i="13" s="1"/>
  <c r="D169" i="13"/>
  <c r="C178" i="13"/>
  <c r="B179" i="13"/>
  <c r="B182" i="13" s="1"/>
  <c r="D182" i="13" s="1"/>
  <c r="D187" i="13"/>
  <c r="C188" i="13"/>
  <c r="C198" i="13" s="1"/>
  <c r="D198" i="13" s="1"/>
  <c r="D200" i="13" s="1"/>
  <c r="D190" i="13"/>
  <c r="C199" i="13"/>
  <c r="B200" i="13"/>
  <c r="B203" i="13"/>
  <c r="D29" i="6"/>
  <c r="D30" i="6"/>
  <c r="D31" i="6"/>
  <c r="D32" i="6"/>
  <c r="B33" i="6"/>
  <c r="B84" i="13" s="1"/>
  <c r="C33" i="6"/>
  <c r="B85" i="13" s="1"/>
  <c r="C40" i="6"/>
  <c r="B168" i="13" s="1"/>
  <c r="D168" i="13" s="1"/>
  <c r="O1" i="1"/>
  <c r="I5" i="1"/>
  <c r="I6" i="1"/>
  <c r="M7" i="1"/>
  <c r="K8" i="1"/>
  <c r="I18" i="1"/>
  <c r="I23" i="1"/>
  <c r="G25" i="1"/>
  <c r="H25" i="1"/>
  <c r="G44" i="1"/>
  <c r="H55" i="1"/>
  <c r="D73" i="1"/>
  <c r="E73" i="1"/>
  <c r="F73" i="1"/>
  <c r="G73" i="1"/>
  <c r="H73" i="1"/>
  <c r="G5" i="18"/>
  <c r="G9" i="18"/>
  <c r="C8" i="11"/>
  <c r="C8" i="7" s="1"/>
  <c r="F16" i="2"/>
  <c r="B40" i="6"/>
  <c r="B8" i="11"/>
  <c r="D38" i="6"/>
  <c r="D39" i="6"/>
  <c r="B45" i="6"/>
  <c r="D45" i="6" s="1"/>
  <c r="B73" i="13"/>
  <c r="D73" i="13" s="1"/>
  <c r="B136" i="13"/>
  <c r="G48" i="1"/>
  <c r="D37" i="6"/>
  <c r="B209" i="13"/>
  <c r="B213" i="13" s="1"/>
  <c r="B222" i="13"/>
  <c r="B225" i="13" s="1"/>
  <c r="F16" i="8"/>
  <c r="B8" i="15"/>
  <c r="B9" i="15" s="1"/>
  <c r="F8" i="2"/>
  <c r="F11" i="2"/>
  <c r="F17" i="2"/>
  <c r="F25" i="1" s="1"/>
  <c r="F9" i="2"/>
  <c r="F12" i="2"/>
  <c r="F14" i="2"/>
  <c r="F10" i="2"/>
  <c r="B256" i="13"/>
  <c r="I52" i="1"/>
  <c r="H50" i="1"/>
  <c r="H71" i="1" s="1"/>
  <c r="B12" i="13"/>
  <c r="G72" i="1" l="1"/>
  <c r="E22" i="18"/>
  <c r="O28" i="1"/>
  <c r="B167" i="13"/>
  <c r="D167" i="13" s="1"/>
  <c r="D170" i="13" s="1"/>
  <c r="B336" i="13"/>
  <c r="B340" i="13" s="1"/>
  <c r="D8" i="7"/>
  <c r="D22" i="7" s="1"/>
  <c r="D23" i="7" s="1"/>
  <c r="B9" i="7"/>
  <c r="B26" i="7" s="1"/>
  <c r="B138" i="13"/>
  <c r="D22" i="11"/>
  <c r="B10" i="11"/>
  <c r="C10" i="11"/>
  <c r="D25" i="13"/>
  <c r="D29" i="13" s="1"/>
  <c r="Q28" i="1"/>
  <c r="D66" i="13"/>
  <c r="D68" i="13" s="1"/>
  <c r="I50" i="1"/>
  <c r="D51" i="6"/>
  <c r="D34" i="13"/>
  <c r="G51" i="13"/>
  <c r="E8" i="5"/>
  <c r="F18" i="2"/>
  <c r="D9" i="7"/>
  <c r="D26" i="7" s="1"/>
  <c r="D27" i="7" s="1"/>
  <c r="F73" i="13"/>
  <c r="D75" i="13"/>
  <c r="D156" i="13"/>
  <c r="D158" i="13" s="1"/>
  <c r="B10" i="5"/>
  <c r="D136" i="13"/>
  <c r="D138" i="13" s="1"/>
  <c r="B141" i="13"/>
  <c r="D141" i="13" s="1"/>
  <c r="B96" i="13"/>
  <c r="D43" i="6"/>
  <c r="D49" i="6" s="1"/>
  <c r="D209" i="13"/>
  <c r="D213" i="13" s="1"/>
  <c r="D215" i="13" s="1"/>
  <c r="B21" i="7"/>
  <c r="E21" i="7" s="1"/>
  <c r="D244" i="13"/>
  <c r="F39" i="10"/>
  <c r="B99" i="13"/>
  <c r="D99" i="13" s="1"/>
  <c r="D117" i="13"/>
  <c r="D51" i="13"/>
  <c r="D53" i="13" s="1"/>
  <c r="B188" i="13"/>
  <c r="D188" i="13" s="1"/>
  <c r="D33" i="6"/>
  <c r="G31" i="6" s="1"/>
  <c r="G53" i="1"/>
  <c r="E24" i="18" s="1"/>
  <c r="G5" i="4"/>
  <c r="G7" i="4" s="1"/>
  <c r="D44" i="13"/>
  <c r="D265" i="13"/>
  <c r="B51" i="6"/>
  <c r="I73" i="1"/>
  <c r="D26" i="11"/>
  <c r="D29" i="11" s="1"/>
  <c r="F35" i="1" s="1"/>
  <c r="D16" i="18" s="1"/>
  <c r="E115" i="13"/>
  <c r="C21" i="11"/>
  <c r="E21" i="11" s="1"/>
  <c r="D108" i="13"/>
  <c r="D110" i="13" s="1"/>
  <c r="C10" i="5"/>
  <c r="I75" i="1"/>
  <c r="I76" i="1"/>
  <c r="D222" i="13"/>
  <c r="D149" i="13"/>
  <c r="D151" i="13" s="1"/>
  <c r="B25" i="11"/>
  <c r="B26" i="11" s="1"/>
  <c r="E9" i="11"/>
  <c r="D10" i="11"/>
  <c r="D40" i="6"/>
  <c r="G38" i="6" s="1"/>
  <c r="C22" i="7"/>
  <c r="C23" i="7" s="1"/>
  <c r="C10" i="7"/>
  <c r="C25" i="11"/>
  <c r="C26" i="11" s="1"/>
  <c r="E8" i="11"/>
  <c r="B189" i="13"/>
  <c r="D189" i="13" s="1"/>
  <c r="B8" i="7"/>
  <c r="D44" i="6"/>
  <c r="D50" i="6" s="1"/>
  <c r="E20" i="11"/>
  <c r="C46" i="6"/>
  <c r="C54" i="6" s="1"/>
  <c r="B87" i="13"/>
  <c r="D42" i="6"/>
  <c r="D48" i="6" s="1"/>
  <c r="D10" i="5"/>
  <c r="E24" i="11"/>
  <c r="D256" i="13"/>
  <c r="E25" i="1"/>
  <c r="D25" i="1"/>
  <c r="B9" i="12"/>
  <c r="B11" i="12" s="1"/>
  <c r="B22" i="11"/>
  <c r="E9" i="5"/>
  <c r="D231" i="13"/>
  <c r="D235" i="13" s="1"/>
  <c r="D237" i="13" s="1"/>
  <c r="E242" i="13" s="1"/>
  <c r="B235" i="13"/>
  <c r="C29" i="8"/>
  <c r="I59" i="1"/>
  <c r="C25" i="7"/>
  <c r="E94" i="13"/>
  <c r="H48" i="1"/>
  <c r="B56" i="13"/>
  <c r="D56" i="13" s="1"/>
  <c r="B75" i="13"/>
  <c r="B120" i="13"/>
  <c r="D120" i="13" s="1"/>
  <c r="B46" i="6"/>
  <c r="B54" i="6" s="1"/>
  <c r="B49" i="6"/>
  <c r="B117" i="13"/>
  <c r="E73" i="13"/>
  <c r="D96" i="13"/>
  <c r="I43" i="1"/>
  <c r="B78" i="13"/>
  <c r="D78" i="13" s="1"/>
  <c r="D46" i="13"/>
  <c r="B204" i="13"/>
  <c r="D203" i="13"/>
  <c r="G5" i="19"/>
  <c r="G7" i="19" s="1"/>
  <c r="G10" i="19" s="1"/>
  <c r="B126" i="13"/>
  <c r="B5" i="8"/>
  <c r="D5" i="8" s="1"/>
  <c r="H8" i="1"/>
  <c r="F7" i="1"/>
  <c r="F74" i="1" s="1"/>
  <c r="E74" i="1"/>
  <c r="E8" i="1"/>
  <c r="E12" i="1" s="1"/>
  <c r="O59" i="1"/>
  <c r="D7" i="1"/>
  <c r="H12" i="1" l="1"/>
  <c r="H46" i="1" s="1"/>
  <c r="I46" i="1" s="1"/>
  <c r="F7" i="18"/>
  <c r="G7" i="18" s="1"/>
  <c r="I48" i="1"/>
  <c r="F22" i="18"/>
  <c r="E28" i="18"/>
  <c r="E30" i="18" s="1"/>
  <c r="G22" i="18"/>
  <c r="B170" i="13"/>
  <c r="G73" i="13"/>
  <c r="G29" i="6"/>
  <c r="G30" i="6"/>
  <c r="E9" i="7"/>
  <c r="C22" i="11"/>
  <c r="C29" i="11" s="1"/>
  <c r="E35" i="1" s="1"/>
  <c r="C16" i="18" s="1"/>
  <c r="D10" i="7"/>
  <c r="E10" i="5"/>
  <c r="E25" i="11"/>
  <c r="C13" i="4" s="1"/>
  <c r="E9" i="4"/>
  <c r="C12" i="4" s="1"/>
  <c r="G32" i="6"/>
  <c r="G55" i="1"/>
  <c r="G71" i="1" s="1"/>
  <c r="G77" i="1" s="1"/>
  <c r="D30" i="7"/>
  <c r="F37" i="1" s="1"/>
  <c r="E170" i="13"/>
  <c r="D172" i="13"/>
  <c r="E179" i="13" s="1"/>
  <c r="D258" i="13"/>
  <c r="E263" i="13" s="1"/>
  <c r="E256" i="13"/>
  <c r="I21" i="1"/>
  <c r="I25" i="1" s="1"/>
  <c r="F19" i="2"/>
  <c r="O21" i="1"/>
  <c r="G37" i="6"/>
  <c r="B29" i="11"/>
  <c r="D35" i="1" s="1"/>
  <c r="B16" i="18" s="1"/>
  <c r="G16" i="18" s="1"/>
  <c r="E10" i="11"/>
  <c r="G39" i="6"/>
  <c r="D46" i="6"/>
  <c r="D54" i="6" s="1"/>
  <c r="D191" i="13"/>
  <c r="E191" i="13" s="1"/>
  <c r="B191" i="13"/>
  <c r="B22" i="7"/>
  <c r="E8" i="7"/>
  <c r="E10" i="7" s="1"/>
  <c r="B10" i="7"/>
  <c r="E22" i="11"/>
  <c r="B27" i="7"/>
  <c r="E26" i="7"/>
  <c r="E25" i="7"/>
  <c r="C27" i="7"/>
  <c r="C30" i="7" s="1"/>
  <c r="E232" i="13"/>
  <c r="B129" i="13"/>
  <c r="D126" i="13"/>
  <c r="D129" i="13" s="1"/>
  <c r="D131" i="13" s="1"/>
  <c r="F8" i="1"/>
  <c r="F12" i="1" s="1"/>
  <c r="B6" i="8"/>
  <c r="D74" i="1"/>
  <c r="I74" i="1" s="1"/>
  <c r="D8" i="1"/>
  <c r="D12" i="1" s="1"/>
  <c r="I7" i="1"/>
  <c r="I8" i="1" s="1"/>
  <c r="L8" i="1" s="1"/>
  <c r="B21" i="5" l="1"/>
  <c r="C15" i="15"/>
  <c r="D15" i="15" s="1"/>
  <c r="E15" i="15" s="1"/>
  <c r="C24" i="10"/>
  <c r="D24" i="10" s="1"/>
  <c r="E24" i="10" s="1"/>
  <c r="C15" i="16"/>
  <c r="C17" i="5"/>
  <c r="C18" i="12"/>
  <c r="D18" i="12" s="1"/>
  <c r="E18" i="12" s="1"/>
  <c r="G40" i="6"/>
  <c r="C14" i="4"/>
  <c r="E54" i="1" s="1"/>
  <c r="E26" i="11"/>
  <c r="D37" i="7"/>
  <c r="F38" i="1" s="1"/>
  <c r="F72" i="1" s="1"/>
  <c r="G33" i="6"/>
  <c r="G57" i="1"/>
  <c r="I35" i="1"/>
  <c r="E29" i="11"/>
  <c r="D193" i="13"/>
  <c r="E22" i="7"/>
  <c r="E23" i="7" s="1"/>
  <c r="B23" i="7"/>
  <c r="B30" i="7" s="1"/>
  <c r="B37" i="7" s="1"/>
  <c r="C37" i="7"/>
  <c r="E38" i="1" s="1"/>
  <c r="E72" i="1" s="1"/>
  <c r="E37" i="1"/>
  <c r="E53" i="1"/>
  <c r="C24" i="18" s="1"/>
  <c r="D53" i="1"/>
  <c r="B24" i="18" s="1"/>
  <c r="F53" i="1"/>
  <c r="D24" i="18" s="1"/>
  <c r="E27" i="7"/>
  <c r="B7" i="8"/>
  <c r="D6" i="8"/>
  <c r="D7" i="8" s="1"/>
  <c r="D15" i="16" l="1"/>
  <c r="E15" i="16" s="1"/>
  <c r="B16" i="7"/>
  <c r="C16" i="7" s="1"/>
  <c r="D16" i="7" s="1"/>
  <c r="C21" i="5"/>
  <c r="D17" i="5"/>
  <c r="D21" i="5" s="1"/>
  <c r="C18" i="18"/>
  <c r="D18" i="18"/>
  <c r="G24" i="18"/>
  <c r="D54" i="1"/>
  <c r="D55" i="1" s="1"/>
  <c r="F54" i="1"/>
  <c r="G65" i="1"/>
  <c r="G66" i="1" s="1"/>
  <c r="G61" i="1"/>
  <c r="E30" i="7"/>
  <c r="C7" i="13" s="1"/>
  <c r="D37" i="1"/>
  <c r="E55" i="1"/>
  <c r="D38" i="1"/>
  <c r="E37" i="7"/>
  <c r="I53" i="1"/>
  <c r="E21" i="5" l="1"/>
  <c r="I37" i="1"/>
  <c r="B18" i="18"/>
  <c r="I54" i="1"/>
  <c r="I55" i="1" s="1"/>
  <c r="F55" i="1"/>
  <c r="D72" i="1"/>
  <c r="H38" i="1"/>
  <c r="H44" i="1" l="1"/>
  <c r="H57" i="1" s="1"/>
  <c r="F18" i="18"/>
  <c r="F28" i="18" s="1"/>
  <c r="F30" i="18" s="1"/>
  <c r="I38" i="1"/>
  <c r="H72" i="1" l="1"/>
  <c r="H77" i="1" s="1"/>
  <c r="G18" i="18"/>
  <c r="H61" i="1"/>
  <c r="I72" i="1" l="1"/>
  <c r="I63" i="1"/>
  <c r="H65" i="1"/>
  <c r="H66" i="1" s="1"/>
  <c r="C347" i="13"/>
  <c r="D347" i="13" s="1"/>
  <c r="D349" i="13" s="1"/>
  <c r="D336" i="13" l="1"/>
  <c r="E337" i="13" s="1"/>
  <c r="B20" i="8"/>
  <c r="D20" i="8" s="1"/>
  <c r="D340" i="13" l="1"/>
  <c r="C24" i="6"/>
  <c r="D24" i="6" s="1"/>
  <c r="B16" i="10"/>
  <c r="B18" i="10" s="1"/>
  <c r="E22" i="8"/>
  <c r="D342" i="13"/>
  <c r="E347" i="13"/>
  <c r="E340" i="13"/>
  <c r="E342" i="13" s="1"/>
  <c r="C19" i="12"/>
  <c r="C16" i="16"/>
  <c r="C16" i="5"/>
  <c r="C25" i="10"/>
  <c r="C16" i="15"/>
  <c r="B15" i="7" l="1"/>
  <c r="C15" i="7" s="1"/>
  <c r="D15" i="7" s="1"/>
  <c r="D16" i="16"/>
  <c r="E16" i="16" s="1"/>
  <c r="G337" i="13"/>
  <c r="G339" i="13" s="1"/>
  <c r="C5" i="13"/>
  <c r="B8" i="16" s="1"/>
  <c r="C22" i="5"/>
  <c r="D16" i="5"/>
  <c r="D22" i="5" s="1"/>
  <c r="B22" i="5"/>
  <c r="D16" i="15"/>
  <c r="E16" i="15" s="1"/>
  <c r="D25" i="10"/>
  <c r="E25" i="10" s="1"/>
  <c r="D19" i="12"/>
  <c r="E19" i="12" l="1"/>
  <c r="B9" i="16"/>
  <c r="C12" i="13"/>
  <c r="E20" i="5"/>
  <c r="E22" i="5" s="1"/>
  <c r="B20" i="10" l="1"/>
  <c r="B22" i="10" s="1"/>
  <c r="B11" i="16"/>
  <c r="B13" i="12"/>
  <c r="B15" i="12" s="1"/>
  <c r="B11" i="15"/>
  <c r="B13" i="15" s="1"/>
  <c r="B9" i="8"/>
  <c r="B28" i="8" s="1"/>
  <c r="B27" i="8"/>
  <c r="B13" i="16"/>
  <c r="E22" i="12"/>
  <c r="E25" i="12" s="1"/>
  <c r="E12" i="8" l="1"/>
  <c r="F12" i="8" s="1"/>
  <c r="H12" i="8"/>
  <c r="D9" i="8"/>
  <c r="D22" i="8" s="1"/>
  <c r="D25" i="8" s="1"/>
  <c r="B29" i="8"/>
  <c r="B22" i="8"/>
  <c r="P44" i="1" s="1"/>
  <c r="C18" i="16"/>
  <c r="C19" i="16"/>
  <c r="C18" i="15"/>
  <c r="C19" i="15"/>
  <c r="D21" i="12"/>
  <c r="D24" i="12" s="1"/>
  <c r="C21" i="12"/>
  <c r="C24" i="12" s="1"/>
  <c r="E21" i="12"/>
  <c r="E24" i="12" s="1"/>
  <c r="F33" i="1" s="1"/>
  <c r="D14" i="18" s="1"/>
  <c r="C22" i="12"/>
  <c r="C25" i="12" s="1"/>
  <c r="D22" i="12"/>
  <c r="D25" i="12" s="1"/>
  <c r="C27" i="10"/>
  <c r="C28" i="10"/>
  <c r="F25" i="12" l="1"/>
  <c r="D33" i="1"/>
  <c r="B14" i="18" s="1"/>
  <c r="F24" i="12"/>
  <c r="D18" i="16"/>
  <c r="C21" i="16"/>
  <c r="D19" i="16"/>
  <c r="C10" i="1"/>
  <c r="B25" i="8"/>
  <c r="E33" i="1"/>
  <c r="C14" i="18" s="1"/>
  <c r="D19" i="15"/>
  <c r="C22" i="15"/>
  <c r="D28" i="10"/>
  <c r="D18" i="15"/>
  <c r="C21" i="15"/>
  <c r="D27" i="10"/>
  <c r="C30" i="10"/>
  <c r="G12" i="8"/>
  <c r="G14" i="18" l="1"/>
  <c r="F26" i="12"/>
  <c r="E19" i="16"/>
  <c r="C23" i="16"/>
  <c r="D31" i="1" s="1"/>
  <c r="B12" i="18" s="1"/>
  <c r="D22" i="15"/>
  <c r="E19" i="15"/>
  <c r="E22" i="15" s="1"/>
  <c r="E18" i="16"/>
  <c r="E21" i="16" s="1"/>
  <c r="D21" i="16"/>
  <c r="E18" i="15"/>
  <c r="E21" i="15" s="1"/>
  <c r="D21" i="15"/>
  <c r="C23" i="15"/>
  <c r="D40" i="1" s="1"/>
  <c r="B20" i="18" s="1"/>
  <c r="C12" i="1"/>
  <c r="I10" i="1"/>
  <c r="I12" i="1" s="1"/>
  <c r="E28" i="10"/>
  <c r="C32" i="10"/>
  <c r="D42" i="1"/>
  <c r="B26" i="18" s="1"/>
  <c r="E27" i="10"/>
  <c r="E30" i="10" s="1"/>
  <c r="D30" i="10"/>
  <c r="I33" i="1"/>
  <c r="D23" i="16" l="1"/>
  <c r="E31" i="1" s="1"/>
  <c r="C12" i="18" s="1"/>
  <c r="B28" i="18"/>
  <c r="B30" i="18" s="1"/>
  <c r="F21" i="15"/>
  <c r="F31" i="10"/>
  <c r="F22" i="15"/>
  <c r="F21" i="16"/>
  <c r="F22" i="16"/>
  <c r="E42" i="1"/>
  <c r="D32" i="10"/>
  <c r="D23" i="15"/>
  <c r="E40" i="1" s="1"/>
  <c r="D44" i="1"/>
  <c r="F42" i="1"/>
  <c r="D26" i="18" s="1"/>
  <c r="E32" i="10"/>
  <c r="F30" i="10"/>
  <c r="E23" i="15"/>
  <c r="F40" i="1" s="1"/>
  <c r="D20" i="18" s="1"/>
  <c r="E23" i="16"/>
  <c r="F31" i="1" s="1"/>
  <c r="F23" i="15" l="1"/>
  <c r="F23" i="16"/>
  <c r="I40" i="1"/>
  <c r="C20" i="18"/>
  <c r="I42" i="1"/>
  <c r="C26" i="18"/>
  <c r="G26" i="18" s="1"/>
  <c r="F44" i="1"/>
  <c r="F57" i="1" s="1"/>
  <c r="D12" i="18"/>
  <c r="F32" i="10"/>
  <c r="D85" i="1"/>
  <c r="D57" i="1"/>
  <c r="I31" i="1"/>
  <c r="E44" i="1"/>
  <c r="I44" i="1" l="1"/>
  <c r="F85" i="1"/>
  <c r="D28" i="18"/>
  <c r="D30" i="18" s="1"/>
  <c r="G12" i="18"/>
  <c r="C28" i="18"/>
  <c r="C30" i="18" s="1"/>
  <c r="G32" i="18" s="1"/>
  <c r="G20" i="18"/>
  <c r="F71" i="1"/>
  <c r="F77" i="1" s="1"/>
  <c r="F65" i="1"/>
  <c r="F66" i="1" s="1"/>
  <c r="F61" i="1"/>
  <c r="E57" i="1"/>
  <c r="E85" i="1"/>
  <c r="G85" i="1" s="1"/>
  <c r="D61" i="1"/>
  <c r="D65" i="1"/>
  <c r="D66" i="1" s="1"/>
  <c r="D71" i="1"/>
  <c r="O44" i="1" l="1"/>
  <c r="Q44" i="1" s="1"/>
  <c r="M44" i="1"/>
  <c r="I57" i="1"/>
  <c r="I65" i="1" s="1"/>
  <c r="I66" i="1" s="1"/>
  <c r="G28" i="18"/>
  <c r="G30" i="18" s="1"/>
  <c r="E65" i="1"/>
  <c r="E66" i="1" s="1"/>
  <c r="E71" i="1"/>
  <c r="E77" i="1" s="1"/>
  <c r="E61" i="1"/>
  <c r="D77" i="1"/>
  <c r="J57" i="1"/>
  <c r="H28" i="18" l="1"/>
  <c r="I28" i="18" s="1"/>
  <c r="I61" i="1"/>
  <c r="I71" i="1"/>
  <c r="O72" i="1" s="1"/>
  <c r="M74" i="1" l="1"/>
  <c r="J71" i="1"/>
  <c r="I77" i="1"/>
  <c r="P77" i="1" s="1"/>
</calcChain>
</file>

<file path=xl/comments1.xml><?xml version="1.0" encoding="utf-8"?>
<comments xmlns="http://schemas.openxmlformats.org/spreadsheetml/2006/main">
  <authors>
    <author>Deborah Martin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Apportionment Report; Total computational revenue - F10 - student enrollment fees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Apportionment report; Property Taxes line</t>
        </r>
      </text>
    </comment>
  </commentList>
</comments>
</file>

<file path=xl/comments2.xml><?xml version="1.0" encoding="utf-8"?>
<comments xmlns="http://schemas.openxmlformats.org/spreadsheetml/2006/main">
  <authors>
    <author>Deborah Martin</author>
  </authors>
  <commentList>
    <comment ref="D251" authorId="0" shapeId="0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Apportionment Report; Basic Allocation</t>
        </r>
      </text>
    </comment>
    <comment ref="D255" authorId="0" shapeId="0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Apportionment Report; Total Revenue Adjustments + current year decline</t>
        </r>
      </text>
    </comment>
    <comment ref="D272" authorId="0" shapeId="0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Apportionment Report; Basic Allocation</t>
        </r>
      </text>
    </comment>
    <comment ref="D276" authorId="0" shapeId="0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Apportionment Report; Total Revenue Adjustments + current year decline</t>
        </r>
      </text>
    </comment>
    <comment ref="D293" authorId="0" shapeId="0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Apportionment Report; Basic Allocation</t>
        </r>
      </text>
    </comment>
    <comment ref="D297" authorId="0" shapeId="0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Apportionment Report; Total Revenue Adjustments + current year decline</t>
        </r>
      </text>
    </comment>
    <comment ref="D314" authorId="0" shapeId="0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Apportionment Report; Basic Allocation</t>
        </r>
      </text>
    </comment>
    <comment ref="D318" authorId="0" shapeId="0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Apportionment Report; Total Revenue Adjustments + current year decline</t>
        </r>
      </text>
    </comment>
    <comment ref="D335" authorId="0" shapeId="0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Apportionment Report; Basic Allocation</t>
        </r>
      </text>
    </comment>
    <comment ref="D339" authorId="0" shapeId="0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Apportionment Report; Total Revenue Adjustments + current year decline</t>
        </r>
      </text>
    </comment>
  </commentList>
</comments>
</file>

<file path=xl/sharedStrings.xml><?xml version="1.0" encoding="utf-8"?>
<sst xmlns="http://schemas.openxmlformats.org/spreadsheetml/2006/main" count="659" uniqueCount="336">
  <si>
    <t>Description</t>
  </si>
  <si>
    <t>Bakersfield College</t>
  </si>
  <si>
    <t>Cerro Coso Community College</t>
  </si>
  <si>
    <t>Porterville College</t>
  </si>
  <si>
    <t>Total</t>
  </si>
  <si>
    <t>Kern Community College District</t>
  </si>
  <si>
    <t>FOUNDATION CALCULATIONS</t>
  </si>
  <si>
    <t>FTES</t>
  </si>
  <si>
    <t>Kern Community College District Income</t>
  </si>
  <si>
    <t>FTES (credit)</t>
  </si>
  <si>
    <t>FTES (non-credit)</t>
  </si>
  <si>
    <t>Growth Allocation Per FTES (Based upon Prior year actual growth)</t>
  </si>
  <si>
    <t>Net Growth</t>
  </si>
  <si>
    <t>Growth Income (only if overall growth increases, otherwise zero growth allocation)</t>
  </si>
  <si>
    <t>Income Description</t>
  </si>
  <si>
    <t>Variance</t>
  </si>
  <si>
    <t>Total Beginning Balance</t>
  </si>
  <si>
    <t xml:space="preserve">State Apportionment &amp;  Property Taxes </t>
  </si>
  <si>
    <t>Enrollment Fees</t>
  </si>
  <si>
    <t xml:space="preserve">Part-Time Faculty  (Adjunct ) Faculty Support </t>
  </si>
  <si>
    <t>Forest Reserves</t>
  </si>
  <si>
    <t>Potash Royalties</t>
  </si>
  <si>
    <t>Basic Skills</t>
  </si>
  <si>
    <t>Enrollment Fee Administration Allowance</t>
  </si>
  <si>
    <t>Lottery Revenue</t>
  </si>
  <si>
    <t>Mandated Costs</t>
  </si>
  <si>
    <t>Interest Income</t>
  </si>
  <si>
    <t>Miscellaneous Income</t>
  </si>
  <si>
    <t>FTES Growth Allocations</t>
  </si>
  <si>
    <t>College Base Rates  Per FTES</t>
  </si>
  <si>
    <t>District Operations Base Rate per FTES</t>
  </si>
  <si>
    <t>FTES COLA Allocations</t>
  </si>
  <si>
    <t>COLA to be Allocated</t>
  </si>
  <si>
    <t>College Operations</t>
  </si>
  <si>
    <t xml:space="preserve">  College Base Allocation Per FTES</t>
  </si>
  <si>
    <t xml:space="preserve">Total Projected COLA Income </t>
  </si>
  <si>
    <t>Total Income To be Allocated</t>
  </si>
  <si>
    <t>&lt;&lt; Based upon Prior year rates for growth</t>
  </si>
  <si>
    <t xml:space="preserve">  Eastern Sierra (CPEC Approved)</t>
  </si>
  <si>
    <t xml:space="preserve">  Delano Center (CPEC Approved)</t>
  </si>
  <si>
    <t xml:space="preserve">  Southern Kern (Grandfathered)</t>
  </si>
  <si>
    <t xml:space="preserve">  Kern River Valley (not eligible)</t>
  </si>
  <si>
    <t xml:space="preserve">FTES 2005-06 </t>
  </si>
  <si>
    <t>Cerro Coso College</t>
  </si>
  <si>
    <t xml:space="preserve">COLA </t>
  </si>
  <si>
    <t>Base Operating Allocations:</t>
  </si>
  <si>
    <t>Base FTES Allocations:</t>
  </si>
  <si>
    <t>Changes to FTES Allocations Increase/(Decrease):</t>
  </si>
  <si>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</si>
  <si>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</si>
  <si>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</si>
  <si>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</si>
  <si>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</si>
  <si>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</si>
  <si>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</si>
  <si>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</si>
  <si>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Step 9</t>
  </si>
  <si>
    <t>Step 10</t>
  </si>
  <si>
    <t>Step 11</t>
  </si>
  <si>
    <t xml:space="preserve">   Initial Model start-up stabilization funding (one year funding)</t>
  </si>
  <si>
    <t>Step 12</t>
  </si>
  <si>
    <t xml:space="preserve">   COLA  Adjustment</t>
  </si>
  <si>
    <t>College  Base</t>
  </si>
  <si>
    <t>College(s) Initial SB361</t>
  </si>
  <si>
    <t>Centers Initial SB 361</t>
  </si>
  <si>
    <t>Step 13</t>
  </si>
  <si>
    <t>Change to Base Allocations Increase/(Decrease)</t>
  </si>
  <si>
    <t>Total Income</t>
  </si>
  <si>
    <t>Beginning Balance and Income to be Allocated</t>
  </si>
  <si>
    <t>Total Beginning Balance and Income to be Allocated</t>
  </si>
  <si>
    <t xml:space="preserve"> Total Base Allocations</t>
  </si>
  <si>
    <t>Growth Allocation</t>
  </si>
  <si>
    <t>FTES Decline Allocation Per FTES (Based upon Prior year actual growth)</t>
  </si>
  <si>
    <t>Decline  Allocation</t>
  </si>
  <si>
    <t xml:space="preserve">Year 1 of Decline </t>
  </si>
  <si>
    <t>Yes or No</t>
  </si>
  <si>
    <t>Must answer question to derive Decline Impact</t>
  </si>
  <si>
    <t>Base FTES Allocations</t>
  </si>
  <si>
    <t xml:space="preserve"> Total</t>
  </si>
  <si>
    <t>Other Changes Increase/(Decrease)</t>
  </si>
  <si>
    <t>Regulatory Charge Back</t>
  </si>
  <si>
    <t>Total FTES Allocations</t>
  </si>
  <si>
    <t xml:space="preserve">     Total District Office Costs</t>
  </si>
  <si>
    <t>District Office Charge Back per FTES</t>
  </si>
  <si>
    <t>Total Allocations</t>
  </si>
  <si>
    <t>Base District wide Reserves</t>
  </si>
  <si>
    <t>Other Changes Stabilization (impact on reserves)</t>
  </si>
  <si>
    <t>Total Funds available to budget</t>
  </si>
  <si>
    <t xml:space="preserve"> Allocations</t>
  </si>
  <si>
    <t>District Wide Costs</t>
  </si>
  <si>
    <t>Decline  Stabilization</t>
  </si>
  <si>
    <t>FTES Decline Impact</t>
  </si>
  <si>
    <t xml:space="preserve">FTES Decline </t>
  </si>
  <si>
    <t xml:space="preserve">Beginning Balance and Income To Be Allocated -- Unrestricted </t>
  </si>
  <si>
    <t>Growth</t>
  </si>
  <si>
    <t>Decline</t>
  </si>
  <si>
    <t>Stabilization Funds</t>
  </si>
  <si>
    <t>District Office Charge Back Allocations</t>
  </si>
  <si>
    <t>Regulatory Charge Back Allocations</t>
  </si>
  <si>
    <t>Qualify for State Stabilization Funding</t>
  </si>
  <si>
    <t>Yes/No</t>
  </si>
  <si>
    <t>Allocation Model</t>
  </si>
  <si>
    <t>Credit Rate</t>
  </si>
  <si>
    <t>Non- Credit Rate</t>
  </si>
  <si>
    <t>Other Income Changes</t>
  </si>
  <si>
    <t>Total Base Funding Per FTES</t>
  </si>
  <si>
    <t>Percent Change</t>
  </si>
  <si>
    <t>Base Allocation Per FTES (Non-Credit)</t>
  </si>
  <si>
    <t>Base Allocation Per FTES (Credit)</t>
  </si>
  <si>
    <t>Other Change per FTES (Non-Credit)</t>
  </si>
  <si>
    <t>Other Change per FTES (Credit)</t>
  </si>
  <si>
    <t>COLA Allocation per FTES (Non-Credit)</t>
  </si>
  <si>
    <t>COLA Allocation per FTES (Credit)</t>
  </si>
  <si>
    <t>Less FOUNDATION COLA Allocation</t>
  </si>
  <si>
    <t>Base FTES Allocation</t>
  </si>
  <si>
    <t>Percent Change to Base</t>
  </si>
  <si>
    <t>COLA Increase per FTES (Non-Credit)</t>
  </si>
  <si>
    <t>COLA Increase per FTES (Credit)</t>
  </si>
  <si>
    <t xml:space="preserve">Is there an overall allocation decline and is it Year 1 of decline </t>
  </si>
  <si>
    <t>FTES Decline Stabilization (impact on reserves)</t>
  </si>
  <si>
    <t>Budget Premises</t>
  </si>
  <si>
    <t>Beginning Balance</t>
  </si>
  <si>
    <t>District Wide Costs Charge Back</t>
  </si>
  <si>
    <t xml:space="preserve">  Weill Center  (Grandfathered)</t>
  </si>
  <si>
    <t>Base FTES</t>
  </si>
  <si>
    <t xml:space="preserve">Credit </t>
  </si>
  <si>
    <t>Non-credit</t>
  </si>
  <si>
    <t>Beginning Balance -- Colleges/DO</t>
  </si>
  <si>
    <t>Beginning Balance -- District -Wide</t>
  </si>
  <si>
    <t xml:space="preserve">     Total District Wide Costs</t>
  </si>
  <si>
    <t xml:space="preserve">     Total District Regulatory Costs</t>
  </si>
  <si>
    <t>No</t>
  </si>
  <si>
    <t>District wide Costs Charge Back Allocations</t>
  </si>
  <si>
    <t>District Office, District Wide &amp; Regulatory</t>
  </si>
  <si>
    <t>&lt;&lt; Excludes WESTEC</t>
  </si>
  <si>
    <t>Increase/(Decrease) to District-wide Reserves due to Stabilization</t>
  </si>
  <si>
    <t xml:space="preserve">Other Increase/(Decrease) to District-wide Reserves </t>
  </si>
  <si>
    <t>Allocation per FTES (Non-Credit)</t>
  </si>
  <si>
    <t>Allocation per FTES (Credit)</t>
  </si>
  <si>
    <t>Growth FTES</t>
  </si>
  <si>
    <t>Net Change</t>
  </si>
  <si>
    <t>Credit</t>
  </si>
  <si>
    <t>Non-Credit</t>
  </si>
  <si>
    <t>Base Income</t>
  </si>
  <si>
    <t>Total 2006-07  Base</t>
  </si>
  <si>
    <t>WESTEC</t>
  </si>
  <si>
    <t>2006-07 Base &amp; COLA (excludes growth)</t>
  </si>
  <si>
    <t>Shortfall before stabilization</t>
  </si>
  <si>
    <t>WESTEC Cost</t>
  </si>
  <si>
    <t>Total 2007-08  Base</t>
  </si>
  <si>
    <t>2007-08 Base &amp; COLA (excludes growth)</t>
  </si>
  <si>
    <t>2006-07</t>
  </si>
  <si>
    <t>2007-08</t>
  </si>
  <si>
    <t>Less WESTEC COLA Impact</t>
  </si>
  <si>
    <t>WESTEC Growth</t>
  </si>
  <si>
    <t>Other Adjusted (WESTEC FTES Growth)</t>
  </si>
  <si>
    <t>State Apportionment &amp; Property Tax  Base</t>
  </si>
  <si>
    <t>2008-09</t>
  </si>
  <si>
    <t>Total 2008-09  Base</t>
  </si>
  <si>
    <t>2008-09 Base &amp; COLA (excludes growth)</t>
  </si>
  <si>
    <t>Non-Credit -- CDCP</t>
  </si>
  <si>
    <t>Percentage Change</t>
  </si>
  <si>
    <t>WESTEC Revenue</t>
  </si>
  <si>
    <t>Base Apportionment Changes</t>
  </si>
  <si>
    <t>Deficit Coefficient Adjustment</t>
  </si>
  <si>
    <t>Deficit Coefficient</t>
  </si>
  <si>
    <t xml:space="preserve">WESTEC </t>
  </si>
  <si>
    <t>Step 14</t>
  </si>
  <si>
    <t>Step 15</t>
  </si>
  <si>
    <t>Base Apportionment Adjustments Inc./(Dec.)</t>
  </si>
  <si>
    <t>2009-10</t>
  </si>
  <si>
    <t>2009-10 Base &amp; COLA (excludes growth)</t>
  </si>
  <si>
    <t>State</t>
  </si>
  <si>
    <t>Local</t>
  </si>
  <si>
    <t xml:space="preserve">Total District Charge Back </t>
  </si>
  <si>
    <t>2010-11</t>
  </si>
  <si>
    <t>2010-11 Base &amp; COLA (excludes growth)</t>
  </si>
  <si>
    <t>Total 2009-10  Base</t>
  </si>
  <si>
    <t>Total 2010-11 Base</t>
  </si>
  <si>
    <t>Total 2010-11  Base</t>
  </si>
  <si>
    <t>2011-12</t>
  </si>
  <si>
    <t>2011-12  Credit FTES</t>
  </si>
  <si>
    <t>College Carryover</t>
  </si>
  <si>
    <t xml:space="preserve">District-wide Unallocated Carryover/Reserves Base </t>
  </si>
  <si>
    <t>District Operations Mandatory Reserve/Project Carryover</t>
  </si>
  <si>
    <t>Beginning Balance (Unrestricted GU001 only)</t>
  </si>
  <si>
    <t>2012-13</t>
  </si>
  <si>
    <t>Total 2011-12 Base</t>
  </si>
  <si>
    <t>2011-12 Base &amp; COLA (excludes growth)</t>
  </si>
  <si>
    <t>Total 2011-12  Base</t>
  </si>
  <si>
    <t>2012-13 Credit FTES</t>
  </si>
  <si>
    <t>2012-13  Non-Credit FTES</t>
  </si>
  <si>
    <t>2011-12 Non-Credit FTES</t>
  </si>
  <si>
    <t>Contract &amp; Community Ed Carryover (CE Only)</t>
  </si>
  <si>
    <t>College Discretionary Carryover  (GU001 Only)</t>
  </si>
  <si>
    <t>District Mandatory Reserves/Project Carryover (GU001 Only)</t>
  </si>
  <si>
    <t>District-wide Reserves  (GU001 Only)</t>
  </si>
  <si>
    <t>Total Allocations (GU001 Only)</t>
  </si>
  <si>
    <t>Summary Unrestricted Funds Available to Budget</t>
  </si>
  <si>
    <t>District Wide Reserves</t>
  </si>
  <si>
    <t>Total 2012-13 Base</t>
  </si>
  <si>
    <t>2012-13 Base &amp; COLA (excludes growth)</t>
  </si>
  <si>
    <t>Total 2012-13  Base</t>
  </si>
  <si>
    <t>District Operations</t>
  </si>
  <si>
    <t>District-wide Reserves</t>
  </si>
  <si>
    <t>Change in Base Operating Allocations</t>
  </si>
  <si>
    <t>Change in FTES Allocations</t>
  </si>
  <si>
    <t xml:space="preserve">    Base</t>
  </si>
  <si>
    <t xml:space="preserve">   COLA</t>
  </si>
  <si>
    <t>Computational Deficit Factor</t>
  </si>
  <si>
    <t>Net Change Increase/(Decrease)</t>
  </si>
  <si>
    <t>District Wide Charge Backs (Increase)/Decrease</t>
  </si>
  <si>
    <t>One Time to be funded by Reserves</t>
  </si>
  <si>
    <t>College/DO Local  &amp; Community Ed Revenue (GU001 &amp; CE)</t>
  </si>
  <si>
    <t>2013-14</t>
  </si>
  <si>
    <t>Growth (prior year growth)</t>
  </si>
  <si>
    <t>Total 2013-14 Base</t>
  </si>
  <si>
    <t>Growth/Restoration/(Decline)</t>
  </si>
  <si>
    <t>Other</t>
  </si>
  <si>
    <t>District wide Reserve</t>
  </si>
  <si>
    <t>Change in District Wide Beginning Balance</t>
  </si>
  <si>
    <t>2013-14 Base &amp; COLA</t>
  </si>
  <si>
    <t>Base Income (P2)</t>
  </si>
  <si>
    <t>Growth 2013-14</t>
  </si>
  <si>
    <t>2014-15</t>
  </si>
  <si>
    <t>Base Income (P1)</t>
  </si>
  <si>
    <t>Total 2014-15 Base</t>
  </si>
  <si>
    <t>Growth 2014-15</t>
  </si>
  <si>
    <t>2014-15 Base &amp; COLA</t>
  </si>
  <si>
    <t>Deficit Coefficient (Increase)/Decrease</t>
  </si>
  <si>
    <t>One Time Funded</t>
  </si>
  <si>
    <t>FTES Decline &amp; Stabilization</t>
  </si>
  <si>
    <t>True Up for base allocation FTES decline</t>
  </si>
  <si>
    <t>Total 2014-15</t>
  </si>
  <si>
    <t>FON Allocation</t>
  </si>
  <si>
    <t>2015-16</t>
  </si>
  <si>
    <t>Growth 2015-16</t>
  </si>
  <si>
    <t>2015-16 Base &amp; COLA</t>
  </si>
  <si>
    <t>Total 2015-16</t>
  </si>
  <si>
    <t>Base Income (R1)</t>
  </si>
  <si>
    <t>2016-17 (P1)</t>
  </si>
  <si>
    <t>Total 2016-17 Base</t>
  </si>
  <si>
    <t>2016-17 Base &amp; COLA</t>
  </si>
  <si>
    <t>Other Revenues</t>
  </si>
  <si>
    <t>Growth 2016-17</t>
  </si>
  <si>
    <t>Other Revenue</t>
  </si>
  <si>
    <t>Growth 2017-18</t>
  </si>
  <si>
    <t>Total 2017-18 Base</t>
  </si>
  <si>
    <t>2017-18 Base &amp; COLA</t>
  </si>
  <si>
    <t>Total 2017-18</t>
  </si>
  <si>
    <t>BC</t>
  </si>
  <si>
    <t>CC</t>
  </si>
  <si>
    <t>PC</t>
  </si>
  <si>
    <t>DW Costs</t>
  </si>
  <si>
    <t>DW Reserves</t>
  </si>
  <si>
    <t>GU001 only</t>
  </si>
  <si>
    <t xml:space="preserve">Source: </t>
  </si>
  <si>
    <t>not updated until Income/Revenue schedules completed</t>
  </si>
  <si>
    <t xml:space="preserve">  Strategic Initiatives</t>
  </si>
  <si>
    <t>18-19 Hold Harmless (Includes 2.71% COLA)</t>
  </si>
  <si>
    <t>2019-20 COLA</t>
  </si>
  <si>
    <t>19-20 Hold Harmless</t>
  </si>
  <si>
    <t>COLA $</t>
  </si>
  <si>
    <t>Growth 2018-19</t>
  </si>
  <si>
    <t>17-18 TCR - R1</t>
  </si>
  <si>
    <t>18-19 COLA</t>
  </si>
  <si>
    <t>2018-19 TCR</t>
  </si>
  <si>
    <t>2018-19 Base &amp; COLA</t>
  </si>
  <si>
    <t>Total 2018-19 Base</t>
  </si>
  <si>
    <t>Total 2018-19</t>
  </si>
  <si>
    <t>2019-20 Apportionment Projections</t>
  </si>
  <si>
    <t>2018-19 Adopted V5</t>
  </si>
  <si>
    <t>DO Costs change from 2018-19 to 2019-20</t>
  </si>
  <si>
    <t>2018-19 (Hold Harmless)</t>
  </si>
  <si>
    <t>2017-18 (R1)</t>
  </si>
  <si>
    <t>2017-18 R1</t>
  </si>
  <si>
    <t>2018-19 Hold Harmless</t>
  </si>
  <si>
    <t>2019-20 (Hold Harmless)</t>
  </si>
  <si>
    <t>Growth 2019-20</t>
  </si>
  <si>
    <t>2019-20 Base &amp; COLA</t>
  </si>
  <si>
    <t>Total 2019-20 Base</t>
  </si>
  <si>
    <t>Total 2019-20</t>
  </si>
  <si>
    <t>Growth Paid x $3727</t>
  </si>
  <si>
    <t xml:space="preserve">Net Change Percentage Increase </t>
  </si>
  <si>
    <t>SCFF add'l</t>
  </si>
  <si>
    <t>18-19 Constrained TCR</t>
  </si>
  <si>
    <t xml:space="preserve"> times 50%</t>
  </si>
  <si>
    <t>Diff between Constrained TCR and what was previously allocated</t>
  </si>
  <si>
    <t>Add'l amount to be allocated</t>
  </si>
  <si>
    <t>2019-20 Hold Harmless+1,422,009+3,083,414 SCFF addl</t>
  </si>
  <si>
    <t>2019-20 (Advanced - Based on Constrained TCR + COLA)</t>
  </si>
  <si>
    <t>COLA</t>
  </si>
  <si>
    <t>2019-20 Adopted Allocation</t>
  </si>
  <si>
    <t xml:space="preserve">Adopted Budget </t>
  </si>
  <si>
    <t>2018-19 Constrained TCR</t>
  </si>
  <si>
    <t>remove this from allocated revenue in 20-21…it is being allocated as we receive it.</t>
  </si>
  <si>
    <t>Adopted   2019-20</t>
  </si>
  <si>
    <t>Preliminary 2020/21</t>
  </si>
  <si>
    <t>2019-20 (P1)</t>
  </si>
  <si>
    <t>2019-20 P1</t>
  </si>
  <si>
    <t>2020-21 Tentative Allocation</t>
  </si>
  <si>
    <t>18-19 Ending Balances</t>
  </si>
  <si>
    <t>19-20 Adopted Budget Ending Balance</t>
  </si>
  <si>
    <t>Revised 19-20 Ending Balance</t>
  </si>
  <si>
    <t>Net Difference</t>
  </si>
  <si>
    <t>19-20 Adopted Budget Beginning Balance</t>
  </si>
  <si>
    <t>Source 2018-19 R1 Final</t>
  </si>
  <si>
    <t>Source 2019-20 P1</t>
  </si>
  <si>
    <t xml:space="preserve">Kern Community College District                              2020-21 Tentative Budget Allocation </t>
  </si>
  <si>
    <t>Total Base Foundation  (Year 12)</t>
  </si>
  <si>
    <t>Credit Rate Per FTES</t>
  </si>
  <si>
    <t>CDCP</t>
  </si>
  <si>
    <t>Non Credit</t>
  </si>
  <si>
    <t>Revenue</t>
  </si>
  <si>
    <t>Rate per FTES</t>
  </si>
  <si>
    <t>FTE's</t>
  </si>
  <si>
    <t>Wtd Rate NonCredit</t>
  </si>
  <si>
    <t>2019-20 Adopted Budget</t>
  </si>
  <si>
    <t>2020-21 Tentative</t>
  </si>
  <si>
    <t>2019-20 P1 funded</t>
  </si>
  <si>
    <t>2018-19 R1 Final</t>
  </si>
  <si>
    <t>Funded Growth Rate</t>
  </si>
  <si>
    <t>Initial allocation will be 2019-20 base revenues, no adjustment for 2020-21 COLA</t>
  </si>
  <si>
    <t>2020-21 Tentative Budget Allocation</t>
  </si>
  <si>
    <t>2020-21 Tentative Budget Allocation Summary</t>
  </si>
  <si>
    <t>2019-20 Allocation</t>
  </si>
  <si>
    <t>2019-20 Adopted Budget Allocation</t>
  </si>
  <si>
    <t>2018-19  Non-Credit FTES</t>
  </si>
  <si>
    <t>2019-20 Non-Credit FTES</t>
  </si>
  <si>
    <t>2018-19 Credit FTES</t>
  </si>
  <si>
    <t>2019-20  Credit FTES</t>
  </si>
  <si>
    <t>Board Election Costs</t>
  </si>
  <si>
    <t>Non-Credit Average Rate</t>
  </si>
  <si>
    <t>2019-20 Advance --2018-19 P2 Constrained  + COLA</t>
  </si>
  <si>
    <t>Average Rate Per FTES</t>
  </si>
  <si>
    <t>Net Change in Allocation from 2019-20 Adopted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</si>
</sst>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000_);_(* \(#,##0.0000\);_(* &quot;-&quot;??_);_(@_)"/>
    <numFmt numFmtId="168" formatCode="_(* #,##0.0000000_);_(* \(#,##0.0000000\);_(* &quot;-&quot;??_);_(@_)"/>
    <numFmt numFmtId="169" formatCode="_(* #,##0.0000000000_);_(* \(#,##0.0000000000\);_(* &quot;-&quot;??_);_(@_)"/>
    <numFmt numFmtId="170" formatCode="0.00000%"/>
    <numFmt numFmtId="171" formatCode="_(* #,##0.00000000000_);_(* \(#,##0.00000000000\);_(* &quot;-&quot;??_);_(@_)"/>
    <numFmt numFmtId="172" formatCode="#,##0.0000000000_);\(#,##0.0000000000\)"/>
  </numFmts>
  <fonts count="35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4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Arial"/>
      <family val="2"/>
    </font>
    <font>
      <sz val="10"/>
      <color indexed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Times New Roman"/>
      <family val="1"/>
    </font>
    <font>
      <sz val="2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4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4" fillId="0" borderId="0" xfId="0" applyFo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3" fillId="0" borderId="0" xfId="1" applyNumberFormat="1" applyFont="1"/>
    <xf numFmtId="165" fontId="0" fillId="0" borderId="0" xfId="1" applyNumberFormat="1" applyFont="1"/>
    <xf numFmtId="165" fontId="4" fillId="0" borderId="0" xfId="1" applyNumberFormat="1" applyFont="1"/>
    <xf numFmtId="165" fontId="3" fillId="0" borderId="1" xfId="1" applyNumberFormat="1" applyFont="1" applyBorder="1"/>
    <xf numFmtId="165" fontId="4" fillId="0" borderId="0" xfId="1" quotePrefix="1" applyNumberFormat="1" applyFont="1"/>
    <xf numFmtId="165" fontId="4" fillId="2" borderId="0" xfId="1" applyNumberFormat="1" applyFont="1" applyFill="1"/>
    <xf numFmtId="165" fontId="4" fillId="2" borderId="0" xfId="1" quotePrefix="1" applyNumberFormat="1" applyFont="1" applyFill="1"/>
    <xf numFmtId="165" fontId="6" fillId="0" borderId="0" xfId="1" applyNumberFormat="1" applyFont="1"/>
    <xf numFmtId="165" fontId="6" fillId="3" borderId="0" xfId="1" applyNumberFormat="1" applyFont="1" applyFill="1"/>
    <xf numFmtId="165" fontId="3" fillId="0" borderId="0" xfId="1" applyNumberFormat="1" applyFont="1" applyBorder="1"/>
    <xf numFmtId="3" fontId="2" fillId="0" borderId="0" xfId="0" applyNumberFormat="1" applyFont="1"/>
    <xf numFmtId="3" fontId="0" fillId="0" borderId="0" xfId="0" applyNumberFormat="1"/>
    <xf numFmtId="3" fontId="0" fillId="0" borderId="0" xfId="0" applyNumberFormat="1" applyBorder="1"/>
    <xf numFmtId="10" fontId="0" fillId="0" borderId="0" xfId="0" applyNumberFormat="1" applyAlignment="1">
      <alignment horizontal="right" wrapText="1"/>
    </xf>
    <xf numFmtId="3" fontId="7" fillId="3" borderId="2" xfId="0" applyNumberFormat="1" applyFont="1" applyFill="1" applyBorder="1"/>
    <xf numFmtId="3" fontId="0" fillId="3" borderId="2" xfId="0" applyNumberFormat="1" applyFill="1" applyBorder="1"/>
    <xf numFmtId="165" fontId="4" fillId="0" borderId="0" xfId="1" applyNumberFormat="1" applyFont="1" applyFill="1"/>
    <xf numFmtId="165" fontId="4" fillId="0" borderId="3" xfId="1" applyNumberFormat="1" applyFont="1" applyBorder="1"/>
    <xf numFmtId="10" fontId="4" fillId="0" borderId="0" xfId="17" applyNumberFormat="1" applyFont="1"/>
    <xf numFmtId="43" fontId="4" fillId="0" borderId="0" xfId="1" applyNumberFormat="1" applyFont="1"/>
    <xf numFmtId="43" fontId="6" fillId="0" borderId="0" xfId="1" applyNumberFormat="1" applyFont="1"/>
    <xf numFmtId="165" fontId="4" fillId="0" borderId="0" xfId="1" applyNumberFormat="1" applyFont="1" applyAlignment="1">
      <alignment horizontal="center"/>
    </xf>
    <xf numFmtId="43" fontId="6" fillId="0" borderId="3" xfId="1" applyNumberFormat="1" applyFont="1" applyBorder="1"/>
    <xf numFmtId="43" fontId="4" fillId="0" borderId="0" xfId="1" applyNumberFormat="1" applyFont="1" applyFill="1"/>
    <xf numFmtId="0" fontId="3" fillId="0" borderId="1" xfId="0" applyFont="1" applyBorder="1"/>
    <xf numFmtId="44" fontId="4" fillId="0" borderId="0" xfId="8" applyFont="1"/>
    <xf numFmtId="44" fontId="6" fillId="0" borderId="0" xfId="8" applyFont="1"/>
    <xf numFmtId="0" fontId="6" fillId="0" borderId="0" xfId="0" applyFont="1"/>
    <xf numFmtId="10" fontId="6" fillId="0" borderId="0" xfId="17" applyNumberFormat="1" applyFont="1"/>
    <xf numFmtId="165" fontId="3" fillId="0" borderId="1" xfId="1" quotePrefix="1" applyNumberFormat="1" applyFont="1" applyBorder="1"/>
    <xf numFmtId="43" fontId="4" fillId="0" borderId="0" xfId="1" applyFont="1"/>
    <xf numFmtId="44" fontId="4" fillId="0" borderId="3" xfId="8" applyFont="1" applyBorder="1"/>
    <xf numFmtId="165" fontId="0" fillId="0" borderId="1" xfId="1" applyNumberFormat="1" applyFont="1" applyBorder="1"/>
    <xf numFmtId="165" fontId="4" fillId="0" borderId="1" xfId="1" applyNumberFormat="1" applyFont="1" applyBorder="1"/>
    <xf numFmtId="43" fontId="4" fillId="0" borderId="0" xfId="1" applyNumberFormat="1" applyFont="1" applyAlignment="1">
      <alignment horizontal="center"/>
    </xf>
    <xf numFmtId="43" fontId="4" fillId="0" borderId="3" xfId="1" applyNumberFormat="1" applyFont="1" applyBorder="1"/>
    <xf numFmtId="165" fontId="0" fillId="0" borderId="0" xfId="0" applyNumberFormat="1"/>
    <xf numFmtId="0" fontId="3" fillId="0" borderId="4" xfId="0" applyFont="1" applyBorder="1" applyAlignment="1">
      <alignment horizontal="center" wrapText="1"/>
    </xf>
    <xf numFmtId="165" fontId="3" fillId="0" borderId="3" xfId="1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165" fontId="3" fillId="0" borderId="7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5" fontId="3" fillId="0" borderId="5" xfId="1" applyNumberFormat="1" applyFont="1" applyBorder="1" applyAlignment="1">
      <alignment horizontal="center" wrapText="1"/>
    </xf>
    <xf numFmtId="165" fontId="3" fillId="0" borderId="0" xfId="1" applyNumberFormat="1" applyFont="1" applyAlignment="1">
      <alignment horizontal="center" wrapText="1"/>
    </xf>
    <xf numFmtId="165" fontId="7" fillId="0" borderId="8" xfId="0" applyNumberFormat="1" applyFont="1" applyBorder="1" applyAlignment="1">
      <alignment horizontal="center" wrapText="1"/>
    </xf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165" fontId="3" fillId="0" borderId="3" xfId="1" applyNumberFormat="1" applyFont="1" applyFill="1" applyBorder="1"/>
    <xf numFmtId="165" fontId="3" fillId="0" borderId="5" xfId="1" applyNumberFormat="1" applyFont="1" applyFill="1" applyBorder="1"/>
    <xf numFmtId="165" fontId="0" fillId="0" borderId="0" xfId="0" applyNumberFormat="1" applyFill="1"/>
    <xf numFmtId="0" fontId="0" fillId="0" borderId="0" xfId="0" applyFill="1"/>
    <xf numFmtId="0" fontId="3" fillId="0" borderId="6" xfId="0" applyFont="1" applyBorder="1"/>
    <xf numFmtId="165" fontId="7" fillId="0" borderId="8" xfId="0" applyNumberFormat="1" applyFont="1" applyBorder="1"/>
    <xf numFmtId="0" fontId="7" fillId="0" borderId="6" xfId="0" applyFont="1" applyBorder="1"/>
    <xf numFmtId="165" fontId="7" fillId="0" borderId="7" xfId="0" applyNumberFormat="1" applyFont="1" applyBorder="1"/>
    <xf numFmtId="165" fontId="3" fillId="0" borderId="9" xfId="1" applyNumberFormat="1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3" fontId="4" fillId="0" borderId="3" xfId="1" applyFont="1" applyBorder="1"/>
    <xf numFmtId="0" fontId="2" fillId="0" borderId="1" xfId="0" applyFont="1" applyBorder="1"/>
    <xf numFmtId="165" fontId="7" fillId="0" borderId="10" xfId="0" applyNumberFormat="1" applyFont="1" applyBorder="1"/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165" fontId="6" fillId="2" borderId="0" xfId="1" applyNumberFormat="1" applyFont="1" applyFill="1"/>
    <xf numFmtId="0" fontId="2" fillId="0" borderId="0" xfId="0" applyFont="1" applyFill="1"/>
    <xf numFmtId="165" fontId="4" fillId="0" borderId="1" xfId="1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 applyFill="1"/>
    <xf numFmtId="0" fontId="3" fillId="0" borderId="0" xfId="0" applyFont="1" applyFill="1"/>
    <xf numFmtId="0" fontId="6" fillId="0" borderId="0" xfId="0" applyFont="1" applyFill="1"/>
    <xf numFmtId="43" fontId="9" fillId="0" borderId="0" xfId="1" applyNumberFormat="1" applyFont="1"/>
    <xf numFmtId="0" fontId="9" fillId="0" borderId="0" xfId="0" applyFont="1" applyAlignment="1">
      <alignment horizontal="left"/>
    </xf>
    <xf numFmtId="43" fontId="0" fillId="0" borderId="0" xfId="1" applyNumberFormat="1" applyFont="1"/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43" fontId="0" fillId="4" borderId="0" xfId="1" applyNumberFormat="1" applyFont="1" applyFill="1"/>
    <xf numFmtId="0" fontId="11" fillId="0" borderId="0" xfId="0" applyFont="1"/>
    <xf numFmtId="165" fontId="2" fillId="0" borderId="0" xfId="1" applyNumberFormat="1" applyFont="1"/>
    <xf numFmtId="166" fontId="2" fillId="3" borderId="1" xfId="8" applyNumberFormat="1" applyFont="1" applyFill="1" applyBorder="1"/>
    <xf numFmtId="165" fontId="11" fillId="2" borderId="1" xfId="1" applyNumberFormat="1" applyFont="1" applyFill="1" applyBorder="1"/>
    <xf numFmtId="165" fontId="11" fillId="0" borderId="0" xfId="1" applyNumberFormat="1" applyFont="1"/>
    <xf numFmtId="165" fontId="2" fillId="0" borderId="1" xfId="1" applyNumberFormat="1" applyFont="1" applyBorder="1"/>
    <xf numFmtId="165" fontId="2" fillId="2" borderId="0" xfId="1" applyNumberFormat="1" applyFont="1" applyFill="1"/>
    <xf numFmtId="165" fontId="11" fillId="2" borderId="0" xfId="1" applyNumberFormat="1" applyFont="1" applyFill="1"/>
    <xf numFmtId="165" fontId="2" fillId="0" borderId="0" xfId="1" applyNumberFormat="1" applyFont="1" applyBorder="1"/>
    <xf numFmtId="165" fontId="2" fillId="2" borderId="0" xfId="1" applyNumberFormat="1" applyFont="1" applyFill="1" applyBorder="1"/>
    <xf numFmtId="165" fontId="11" fillId="2" borderId="0" xfId="1" applyNumberFormat="1" applyFont="1" applyFill="1" applyBorder="1"/>
    <xf numFmtId="165" fontId="2" fillId="0" borderId="0" xfId="1" applyNumberFormat="1" applyFont="1" applyFill="1"/>
    <xf numFmtId="165" fontId="11" fillId="0" borderId="0" xfId="1" applyNumberFormat="1" applyFont="1" applyFill="1"/>
    <xf numFmtId="165" fontId="2" fillId="0" borderId="0" xfId="1" quotePrefix="1" applyNumberFormat="1" applyFont="1" applyFill="1"/>
    <xf numFmtId="165" fontId="11" fillId="0" borderId="0" xfId="1" applyNumberFormat="1" applyFont="1" applyFill="1" applyBorder="1"/>
    <xf numFmtId="0" fontId="11" fillId="2" borderId="0" xfId="0" applyFont="1" applyFill="1"/>
    <xf numFmtId="0" fontId="2" fillId="2" borderId="0" xfId="0" applyFont="1" applyFill="1"/>
    <xf numFmtId="165" fontId="2" fillId="3" borderId="3" xfId="1" applyNumberFormat="1" applyFont="1" applyFill="1" applyBorder="1"/>
    <xf numFmtId="165" fontId="2" fillId="0" borderId="0" xfId="1" applyNumberFormat="1" applyFont="1" applyFill="1" applyBorder="1"/>
    <xf numFmtId="165" fontId="11" fillId="0" borderId="1" xfId="1" applyNumberFormat="1" applyFont="1" applyBorder="1"/>
    <xf numFmtId="165" fontId="2" fillId="3" borderId="3" xfId="1" applyNumberFormat="1" applyFont="1" applyFill="1" applyBorder="1" applyAlignment="1">
      <alignment horizontal="center"/>
    </xf>
    <xf numFmtId="166" fontId="2" fillId="0" borderId="0" xfId="8" applyNumberFormat="1" applyFont="1"/>
    <xf numFmtId="166" fontId="2" fillId="3" borderId="3" xfId="8" applyNumberFormat="1" applyFont="1" applyFill="1" applyBorder="1"/>
    <xf numFmtId="165" fontId="11" fillId="0" borderId="0" xfId="1" applyNumberFormat="1" applyFont="1" applyBorder="1"/>
    <xf numFmtId="0" fontId="2" fillId="0" borderId="0" xfId="0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left"/>
    </xf>
    <xf numFmtId="165" fontId="0" fillId="0" borderId="0" xfId="1" applyNumberFormat="1" applyFont="1" applyAlignment="1">
      <alignment horizontal="center"/>
    </xf>
    <xf numFmtId="44" fontId="3" fillId="0" borderId="1" xfId="8" applyFont="1" applyBorder="1"/>
    <xf numFmtId="165" fontId="3" fillId="0" borderId="1" xfId="1" applyNumberFormat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165" fontId="4" fillId="0" borderId="0" xfId="0" applyNumberFormat="1" applyFont="1" applyBorder="1"/>
    <xf numFmtId="165" fontId="2" fillId="5" borderId="0" xfId="1" applyNumberFormat="1" applyFont="1" applyFill="1"/>
    <xf numFmtId="165" fontId="11" fillId="5" borderId="0" xfId="1" applyNumberFormat="1" applyFont="1" applyFill="1"/>
    <xf numFmtId="165" fontId="7" fillId="0" borderId="0" xfId="1" applyNumberFormat="1" applyFont="1" applyFill="1" applyBorder="1"/>
    <xf numFmtId="44" fontId="0" fillId="0" borderId="0" xfId="8" applyFont="1"/>
    <xf numFmtId="166" fontId="2" fillId="2" borderId="3" xfId="8" applyNumberFormat="1" applyFont="1" applyFill="1" applyBorder="1"/>
    <xf numFmtId="166" fontId="2" fillId="2" borderId="1" xfId="8" applyNumberFormat="1" applyFont="1" applyFill="1" applyBorder="1"/>
    <xf numFmtId="165" fontId="11" fillId="0" borderId="1" xfId="1" applyNumberFormat="1" applyFont="1" applyFill="1" applyBorder="1"/>
    <xf numFmtId="166" fontId="2" fillId="3" borderId="0" xfId="8" applyNumberFormat="1" applyFont="1" applyFill="1" applyBorder="1"/>
    <xf numFmtId="166" fontId="2" fillId="3" borderId="8" xfId="8" applyNumberFormat="1" applyFont="1" applyFill="1" applyBorder="1"/>
    <xf numFmtId="165" fontId="2" fillId="3" borderId="0" xfId="1" applyNumberFormat="1" applyFont="1" applyFill="1" applyBorder="1"/>
    <xf numFmtId="166" fontId="2" fillId="5" borderId="0" xfId="8" applyNumberFormat="1" applyFont="1" applyFill="1" applyAlignment="1">
      <alignment horizontal="center"/>
    </xf>
    <xf numFmtId="166" fontId="2" fillId="5" borderId="0" xfId="8" applyNumberFormat="1" applyFont="1" applyFill="1"/>
    <xf numFmtId="166" fontId="2" fillId="5" borderId="0" xfId="8" applyNumberFormat="1" applyFont="1" applyFill="1" applyBorder="1"/>
    <xf numFmtId="10" fontId="2" fillId="5" borderId="0" xfId="17" applyNumberFormat="1" applyFont="1" applyFill="1" applyBorder="1"/>
    <xf numFmtId="165" fontId="11" fillId="3" borderId="1" xfId="1" applyNumberFormat="1" applyFont="1" applyFill="1" applyBorder="1"/>
    <xf numFmtId="165" fontId="2" fillId="3" borderId="9" xfId="1" applyNumberFormat="1" applyFont="1" applyFill="1" applyBorder="1"/>
    <xf numFmtId="166" fontId="2" fillId="6" borderId="3" xfId="8" applyNumberFormat="1" applyFont="1" applyFill="1" applyBorder="1"/>
    <xf numFmtId="166" fontId="2" fillId="0" borderId="0" xfId="8" applyNumberFormat="1" applyFont="1" applyFill="1"/>
    <xf numFmtId="166" fontId="2" fillId="0" borderId="0" xfId="8" applyNumberFormat="1" applyFont="1" applyFill="1" applyBorder="1" applyAlignment="1">
      <alignment horizontal="center"/>
    </xf>
    <xf numFmtId="166" fontId="2" fillId="0" borderId="0" xfId="8" applyNumberFormat="1" applyFont="1" applyFill="1" applyBorder="1"/>
    <xf numFmtId="165" fontId="4" fillId="0" borderId="0" xfId="1" applyNumberFormat="1" applyFont="1" applyBorder="1" applyAlignment="1">
      <alignment horizontal="center"/>
    </xf>
    <xf numFmtId="165" fontId="4" fillId="0" borderId="0" xfId="1" applyNumberFormat="1" applyFont="1" applyBorder="1"/>
    <xf numFmtId="43" fontId="4" fillId="0" borderId="0" xfId="1" applyNumberFormat="1" applyFont="1" applyBorder="1"/>
    <xf numFmtId="165" fontId="0" fillId="0" borderId="0" xfId="1" applyNumberFormat="1" applyFont="1" applyBorder="1"/>
    <xf numFmtId="0" fontId="11" fillId="2" borderId="1" xfId="0" applyFont="1" applyFill="1" applyBorder="1"/>
    <xf numFmtId="165" fontId="2" fillId="3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/>
    </xf>
    <xf numFmtId="165" fontId="14" fillId="0" borderId="1" xfId="1" applyNumberFormat="1" applyFont="1" applyBorder="1" applyAlignment="1">
      <alignment horizontal="center"/>
    </xf>
    <xf numFmtId="43" fontId="4" fillId="0" borderId="0" xfId="1" applyFont="1" applyBorder="1"/>
    <xf numFmtId="44" fontId="4" fillId="0" borderId="0" xfId="0" applyNumberFormat="1" applyFont="1"/>
    <xf numFmtId="43" fontId="3" fillId="0" borderId="0" xfId="1" applyFont="1"/>
    <xf numFmtId="43" fontId="0" fillId="0" borderId="0" xfId="1" applyFont="1"/>
    <xf numFmtId="0" fontId="2" fillId="0" borderId="0" xfId="0" applyFont="1" applyAlignment="1">
      <alignment horizontal="left"/>
    </xf>
    <xf numFmtId="10" fontId="3" fillId="0" borderId="1" xfId="17" applyNumberFormat="1" applyFont="1" applyBorder="1" applyAlignment="1">
      <alignment horizontal="center"/>
    </xf>
    <xf numFmtId="43" fontId="6" fillId="0" borderId="0" xfId="0" applyNumberFormat="1" applyFont="1"/>
    <xf numFmtId="43" fontId="4" fillId="0" borderId="0" xfId="1" applyFont="1" applyFill="1"/>
    <xf numFmtId="0" fontId="14" fillId="0" borderId="0" xfId="0" applyFont="1" applyAlignment="1">
      <alignment horizontal="left"/>
    </xf>
    <xf numFmtId="43" fontId="14" fillId="0" borderId="0" xfId="1" applyNumberFormat="1" applyFont="1"/>
    <xf numFmtId="43" fontId="15" fillId="0" borderId="0" xfId="1" applyNumberFormat="1" applyFont="1"/>
    <xf numFmtId="0" fontId="16" fillId="0" borderId="0" xfId="0" applyFont="1"/>
    <xf numFmtId="10" fontId="3" fillId="0" borderId="0" xfId="17" quotePrefix="1" applyNumberFormat="1" applyFont="1"/>
    <xf numFmtId="165" fontId="14" fillId="0" borderId="0" xfId="1" applyNumberFormat="1" applyFont="1"/>
    <xf numFmtId="43" fontId="3" fillId="0" borderId="0" xfId="1" applyNumberFormat="1" applyFont="1"/>
    <xf numFmtId="0" fontId="4" fillId="0" borderId="0" xfId="0" applyFont="1" applyAlignment="1">
      <alignment horizontal="left"/>
    </xf>
    <xf numFmtId="43" fontId="3" fillId="0" borderId="1" xfId="1" applyNumberFormat="1" applyFont="1" applyBorder="1" applyAlignment="1">
      <alignment horizontal="center" wrapText="1"/>
    </xf>
    <xf numFmtId="43" fontId="14" fillId="0" borderId="0" xfId="1" applyNumberFormat="1" applyFont="1" applyAlignment="1">
      <alignment horizontal="center"/>
    </xf>
    <xf numFmtId="43" fontId="15" fillId="0" borderId="0" xfId="1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14" fillId="0" borderId="0" xfId="1" applyFont="1" applyBorder="1"/>
    <xf numFmtId="43" fontId="14" fillId="0" borderId="0" xfId="1" applyFont="1" applyAlignment="1">
      <alignment horizontal="center"/>
    </xf>
    <xf numFmtId="43" fontId="10" fillId="0" borderId="0" xfId="1" applyFont="1"/>
    <xf numFmtId="167" fontId="3" fillId="0" borderId="0" xfId="1" applyNumberFormat="1" applyFont="1" applyAlignment="1">
      <alignment horizontal="center"/>
    </xf>
    <xf numFmtId="167" fontId="14" fillId="0" borderId="0" xfId="1" applyNumberFormat="1" applyFont="1" applyBorder="1"/>
    <xf numFmtId="167" fontId="15" fillId="0" borderId="0" xfId="1" applyNumberFormat="1" applyFont="1"/>
    <xf numFmtId="167" fontId="16" fillId="0" borderId="0" xfId="1" applyNumberFormat="1" applyFont="1"/>
    <xf numFmtId="167" fontId="6" fillId="0" borderId="0" xfId="1" applyNumberFormat="1" applyFont="1"/>
    <xf numFmtId="166" fontId="14" fillId="0" borderId="0" xfId="8" applyNumberFormat="1" applyFont="1" applyBorder="1"/>
    <xf numFmtId="43" fontId="4" fillId="0" borderId="3" xfId="0" applyNumberFormat="1" applyFont="1" applyBorder="1"/>
    <xf numFmtId="43" fontId="2" fillId="3" borderId="0" xfId="1" applyFont="1" applyFill="1" applyBorder="1"/>
    <xf numFmtId="165" fontId="2" fillId="3" borderId="8" xfId="1" applyNumberFormat="1" applyFont="1" applyFill="1" applyBorder="1"/>
    <xf numFmtId="166" fontId="2" fillId="3" borderId="5" xfId="8" applyNumberFormat="1" applyFont="1" applyFill="1" applyBorder="1"/>
    <xf numFmtId="43" fontId="2" fillId="2" borderId="0" xfId="1" applyFont="1" applyFill="1" applyBorder="1"/>
    <xf numFmtId="166" fontId="2" fillId="2" borderId="0" xfId="8" applyNumberFormat="1" applyFont="1" applyFill="1" applyBorder="1"/>
    <xf numFmtId="43" fontId="0" fillId="0" borderId="0" xfId="0" applyNumberFormat="1"/>
    <xf numFmtId="43" fontId="6" fillId="0" borderId="1" xfId="1" applyNumberFormat="1" applyFont="1" applyBorder="1"/>
    <xf numFmtId="0" fontId="3" fillId="0" borderId="0" xfId="0" applyFont="1" applyAlignment="1">
      <alignment horizontal="left"/>
    </xf>
    <xf numFmtId="3" fontId="0" fillId="0" borderId="0" xfId="0" applyNumberFormat="1" applyFill="1" applyAlignment="1">
      <alignment horizontal="center"/>
    </xf>
    <xf numFmtId="3" fontId="0" fillId="0" borderId="0" xfId="0" applyNumberFormat="1" applyFill="1"/>
    <xf numFmtId="44" fontId="18" fillId="0" borderId="0" xfId="8" applyFont="1" applyFill="1"/>
    <xf numFmtId="3" fontId="18" fillId="0" borderId="0" xfId="0" applyNumberFormat="1" applyFont="1" applyFill="1"/>
    <xf numFmtId="10" fontId="0" fillId="0" borderId="0" xfId="0" applyNumberFormat="1" applyFill="1" applyAlignment="1">
      <alignment horizontal="right" wrapText="1"/>
    </xf>
    <xf numFmtId="165" fontId="4" fillId="3" borderId="0" xfId="1" applyNumberFormat="1" applyFont="1" applyFill="1"/>
    <xf numFmtId="43" fontId="16" fillId="0" borderId="0" xfId="0" applyNumberFormat="1" applyFont="1"/>
    <xf numFmtId="167" fontId="0" fillId="0" borderId="0" xfId="1" applyNumberFormat="1" applyFont="1"/>
    <xf numFmtId="0" fontId="19" fillId="0" borderId="0" xfId="0" applyFont="1" applyAlignment="1">
      <alignment horizontal="left"/>
    </xf>
    <xf numFmtId="43" fontId="6" fillId="0" borderId="3" xfId="0" applyNumberFormat="1" applyFont="1" applyBorder="1"/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43" fontId="0" fillId="0" borderId="0" xfId="1" applyNumberFormat="1" applyFont="1" applyBorder="1"/>
    <xf numFmtId="43" fontId="0" fillId="0" borderId="0" xfId="0" applyNumberFormat="1" applyBorder="1"/>
    <xf numFmtId="43" fontId="4" fillId="0" borderId="0" xfId="0" applyNumberFormat="1" applyFont="1"/>
    <xf numFmtId="0" fontId="2" fillId="2" borderId="1" xfId="0" applyFont="1" applyFill="1" applyBorder="1"/>
    <xf numFmtId="167" fontId="3" fillId="0" borderId="0" xfId="1" applyNumberFormat="1" applyFont="1" applyAlignment="1">
      <alignment horizontal="left"/>
    </xf>
    <xf numFmtId="169" fontId="14" fillId="0" borderId="12" xfId="1" applyNumberFormat="1" applyFont="1" applyBorder="1"/>
    <xf numFmtId="43" fontId="4" fillId="0" borderId="0" xfId="1" applyNumberFormat="1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43" fontId="0" fillId="0" borderId="0" xfId="1" applyFont="1" applyBorder="1"/>
    <xf numFmtId="167" fontId="0" fillId="0" borderId="0" xfId="1" applyNumberFormat="1" applyFont="1" applyBorder="1"/>
    <xf numFmtId="44" fontId="0" fillId="0" borderId="0" xfId="0" applyNumberFormat="1"/>
    <xf numFmtId="44" fontId="0" fillId="0" borderId="0" xfId="0" applyNumberFormat="1" applyBorder="1"/>
    <xf numFmtId="165" fontId="9" fillId="0" borderId="0" xfId="1" applyNumberFormat="1" applyFont="1" applyFill="1"/>
    <xf numFmtId="165" fontId="3" fillId="0" borderId="1" xfId="1" applyNumberFormat="1" applyFont="1" applyFill="1" applyBorder="1" applyAlignment="1">
      <alignment horizontal="center" wrapText="1"/>
    </xf>
    <xf numFmtId="165" fontId="3" fillId="0" borderId="0" xfId="1" applyNumberFormat="1" applyFont="1" applyFill="1"/>
    <xf numFmtId="165" fontId="14" fillId="0" borderId="3" xfId="1" applyNumberFormat="1" applyFont="1" applyFill="1" applyBorder="1"/>
    <xf numFmtId="165" fontId="14" fillId="0" borderId="10" xfId="1" applyNumberFormat="1" applyFont="1" applyFill="1" applyBorder="1"/>
    <xf numFmtId="167" fontId="14" fillId="0" borderId="0" xfId="1" applyNumberFormat="1" applyFont="1" applyFill="1" applyBorder="1"/>
    <xf numFmtId="43" fontId="14" fillId="0" borderId="0" xfId="1" applyFont="1" applyFill="1" applyBorder="1"/>
    <xf numFmtId="165" fontId="8" fillId="0" borderId="0" xfId="1" applyNumberFormat="1" applyFont="1" applyFill="1"/>
    <xf numFmtId="165" fontId="0" fillId="0" borderId="0" xfId="1" applyNumberFormat="1" applyFont="1" applyFill="1"/>
    <xf numFmtId="10" fontId="4" fillId="0" borderId="0" xfId="1" applyNumberFormat="1" applyFont="1" applyFill="1"/>
    <xf numFmtId="165" fontId="6" fillId="0" borderId="0" xfId="1" applyNumberFormat="1" applyFont="1" applyFill="1"/>
    <xf numFmtId="167" fontId="0" fillId="0" borderId="0" xfId="1" applyNumberFormat="1" applyFont="1" applyFill="1"/>
    <xf numFmtId="43" fontId="4" fillId="0" borderId="3" xfId="1" applyNumberFormat="1" applyFont="1" applyFill="1" applyBorder="1"/>
    <xf numFmtId="10" fontId="6" fillId="0" borderId="12" xfId="17" applyNumberFormat="1" applyFont="1" applyBorder="1"/>
    <xf numFmtId="43" fontId="6" fillId="0" borderId="0" xfId="1" applyFont="1" applyFill="1"/>
    <xf numFmtId="43" fontId="6" fillId="0" borderId="3" xfId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0" fontId="11" fillId="0" borderId="0" xfId="0" applyFont="1" applyFill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1" fillId="0" borderId="0" xfId="0" applyFont="1" applyFill="1" applyBorder="1"/>
    <xf numFmtId="165" fontId="2" fillId="0" borderId="0" xfId="17" applyNumberFormat="1" applyFont="1" applyFill="1" applyBorder="1"/>
    <xf numFmtId="165" fontId="11" fillId="2" borderId="3" xfId="1" applyNumberFormat="1" applyFont="1" applyFill="1" applyBorder="1"/>
    <xf numFmtId="43" fontId="2" fillId="0" borderId="0" xfId="1" applyFont="1" applyFill="1" applyBorder="1"/>
    <xf numFmtId="43" fontId="15" fillId="0" borderId="0" xfId="1" applyFont="1"/>
    <xf numFmtId="9" fontId="4" fillId="0" borderId="0" xfId="17" applyFont="1"/>
    <xf numFmtId="167" fontId="4" fillId="0" borderId="0" xfId="1" applyNumberFormat="1" applyFont="1"/>
    <xf numFmtId="165" fontId="3" fillId="0" borderId="0" xfId="0" applyNumberFormat="1" applyFont="1"/>
    <xf numFmtId="43" fontId="3" fillId="0" borderId="0" xfId="0" applyNumberFormat="1" applyFont="1"/>
    <xf numFmtId="10" fontId="3" fillId="0" borderId="0" xfId="17" applyNumberFormat="1" applyFont="1"/>
    <xf numFmtId="10" fontId="29" fillId="0" borderId="0" xfId="0" applyNumberFormat="1" applyFont="1" applyFill="1" applyAlignment="1">
      <alignment horizontal="center" wrapText="1"/>
    </xf>
    <xf numFmtId="44" fontId="29" fillId="0" borderId="0" xfId="8" applyFont="1" applyFill="1" applyAlignment="1">
      <alignment horizontal="right" wrapText="1"/>
    </xf>
    <xf numFmtId="43" fontId="29" fillId="0" borderId="0" xfId="1" applyFont="1" applyFill="1" applyAlignment="1">
      <alignment horizontal="right" wrapText="1"/>
    </xf>
    <xf numFmtId="3" fontId="29" fillId="0" borderId="0" xfId="0" applyNumberFormat="1" applyFont="1" applyFill="1" applyAlignment="1">
      <alignment horizontal="center"/>
    </xf>
    <xf numFmtId="3" fontId="29" fillId="0" borderId="0" xfId="0" applyNumberFormat="1" applyFont="1" applyFill="1"/>
    <xf numFmtId="3" fontId="29" fillId="0" borderId="0" xfId="0" applyNumberFormat="1" applyFont="1"/>
    <xf numFmtId="44" fontId="0" fillId="0" borderId="0" xfId="0" applyNumberFormat="1" applyAlignment="1">
      <alignment horizontal="right" wrapText="1"/>
    </xf>
    <xf numFmtId="43" fontId="16" fillId="0" borderId="0" xfId="1" applyFont="1"/>
    <xf numFmtId="165" fontId="0" fillId="0" borderId="0" xfId="17" applyNumberFormat="1" applyFont="1"/>
    <xf numFmtId="165" fontId="0" fillId="0" borderId="0" xfId="1" applyNumberFormat="1" applyFont="1" applyFill="1" applyBorder="1"/>
    <xf numFmtId="0" fontId="0" fillId="0" borderId="0" xfId="0" applyBorder="1" applyAlignment="1">
      <alignment horizontal="left"/>
    </xf>
    <xf numFmtId="43" fontId="6" fillId="0" borderId="0" xfId="1" applyFont="1" applyFill="1" applyBorder="1"/>
    <xf numFmtId="167" fontId="4" fillId="0" borderId="0" xfId="1" applyNumberFormat="1" applyFont="1" applyBorder="1"/>
    <xf numFmtId="10" fontId="0" fillId="0" borderId="0" xfId="17" applyNumberFormat="1" applyFont="1" applyBorder="1"/>
    <xf numFmtId="43" fontId="6" fillId="0" borderId="0" xfId="0" applyNumberFormat="1" applyFont="1" applyBorder="1"/>
    <xf numFmtId="43" fontId="3" fillId="0" borderId="12" xfId="1" applyFont="1" applyFill="1" applyBorder="1"/>
    <xf numFmtId="10" fontId="0" fillId="0" borderId="0" xfId="17" applyNumberFormat="1" applyFont="1"/>
    <xf numFmtId="165" fontId="14" fillId="0" borderId="0" xfId="1" applyNumberFormat="1" applyFont="1" applyFill="1" applyBorder="1"/>
    <xf numFmtId="165" fontId="3" fillId="7" borderId="3" xfId="1" applyNumberFormat="1" applyFont="1" applyFill="1" applyBorder="1"/>
    <xf numFmtId="165" fontId="11" fillId="0" borderId="0" xfId="0" applyNumberFormat="1" applyFont="1"/>
    <xf numFmtId="43" fontId="2" fillId="0" borderId="0" xfId="1" applyFont="1"/>
    <xf numFmtId="43" fontId="2" fillId="0" borderId="0" xfId="0" applyNumberFormat="1" applyFont="1"/>
    <xf numFmtId="0" fontId="5" fillId="0" borderId="0" xfId="15" applyAlignment="1" applyProtection="1"/>
    <xf numFmtId="44" fontId="2" fillId="0" borderId="0" xfId="8" applyNumberFormat="1" applyFont="1" applyFill="1"/>
    <xf numFmtId="43" fontId="2" fillId="0" borderId="0" xfId="1" applyNumberFormat="1" applyFont="1" applyFill="1"/>
    <xf numFmtId="165" fontId="3" fillId="5" borderId="0" xfId="1" applyNumberFormat="1" applyFont="1" applyFill="1"/>
    <xf numFmtId="165" fontId="3" fillId="0" borderId="0" xfId="1" applyNumberFormat="1" applyFont="1" applyFill="1" applyBorder="1"/>
    <xf numFmtId="166" fontId="3" fillId="0" borderId="0" xfId="8" applyNumberFormat="1" applyFont="1" applyFill="1"/>
    <xf numFmtId="166" fontId="3" fillId="5" borderId="0" xfId="8" applyNumberFormat="1" applyFont="1" applyFill="1"/>
    <xf numFmtId="166" fontId="3" fillId="3" borderId="6" xfId="8" applyNumberFormat="1" applyFont="1" applyFill="1" applyBorder="1"/>
    <xf numFmtId="165" fontId="3" fillId="3" borderId="6" xfId="1" applyNumberFormat="1" applyFont="1" applyFill="1" applyBorder="1"/>
    <xf numFmtId="165" fontId="3" fillId="3" borderId="11" xfId="1" applyNumberFormat="1" applyFont="1" applyFill="1" applyBorder="1"/>
    <xf numFmtId="0" fontId="3" fillId="8" borderId="13" xfId="0" applyFont="1" applyFill="1" applyBorder="1" applyAlignment="1">
      <alignment horizontal="center" wrapText="1"/>
    </xf>
    <xf numFmtId="0" fontId="13" fillId="8" borderId="14" xfId="0" applyFont="1" applyFill="1" applyBorder="1" applyAlignment="1">
      <alignment wrapText="1"/>
    </xf>
    <xf numFmtId="0" fontId="2" fillId="8" borderId="14" xfId="0" applyFont="1" applyFill="1" applyBorder="1" applyAlignment="1">
      <alignment horizontal="center" wrapText="1"/>
    </xf>
    <xf numFmtId="166" fontId="3" fillId="8" borderId="3" xfId="8" applyNumberFormat="1" applyFont="1" applyFill="1" applyBorder="1"/>
    <xf numFmtId="166" fontId="2" fillId="8" borderId="3" xfId="8" applyNumberFormat="1" applyFont="1" applyFill="1" applyBorder="1" applyAlignment="1">
      <alignment horizontal="center"/>
    </xf>
    <xf numFmtId="165" fontId="11" fillId="8" borderId="3" xfId="1" applyNumberFormat="1" applyFont="1" applyFill="1" applyBorder="1"/>
    <xf numFmtId="166" fontId="2" fillId="8" borderId="3" xfId="8" applyNumberFormat="1" applyFont="1" applyFill="1" applyBorder="1"/>
    <xf numFmtId="0" fontId="3" fillId="8" borderId="15" xfId="0" applyFont="1" applyFill="1" applyBorder="1"/>
    <xf numFmtId="0" fontId="12" fillId="8" borderId="16" xfId="0" applyFont="1" applyFill="1" applyBorder="1" applyAlignment="1">
      <alignment horizontal="center"/>
    </xf>
    <xf numFmtId="165" fontId="20" fillId="3" borderId="3" xfId="1" applyNumberFormat="1" applyFont="1" applyFill="1" applyBorder="1" applyAlignment="1">
      <alignment horizontal="center"/>
    </xf>
    <xf numFmtId="166" fontId="3" fillId="3" borderId="15" xfId="8" applyNumberFormat="1" applyFont="1" applyFill="1" applyBorder="1"/>
    <xf numFmtId="166" fontId="20" fillId="3" borderId="17" xfId="8" applyNumberFormat="1" applyFont="1" applyFill="1" applyBorder="1" applyAlignment="1">
      <alignment horizontal="center"/>
    </xf>
    <xf numFmtId="166" fontId="2" fillId="3" borderId="17" xfId="8" applyNumberFormat="1" applyFont="1" applyFill="1" applyBorder="1"/>
    <xf numFmtId="10" fontId="2" fillId="3" borderId="17" xfId="17" applyNumberFormat="1" applyFont="1" applyFill="1" applyBorder="1"/>
    <xf numFmtId="166" fontId="2" fillId="3" borderId="16" xfId="8" applyNumberFormat="1" applyFont="1" applyFill="1" applyBorder="1"/>
    <xf numFmtId="165" fontId="20" fillId="3" borderId="0" xfId="1" applyNumberFormat="1" applyFont="1" applyFill="1" applyBorder="1" applyAlignment="1">
      <alignment horizontal="center"/>
    </xf>
    <xf numFmtId="164" fontId="4" fillId="0" borderId="0" xfId="1" applyNumberFormat="1" applyFont="1" applyFill="1"/>
    <xf numFmtId="43" fontId="4" fillId="0" borderId="1" xfId="1" applyNumberFormat="1" applyFont="1" applyBorder="1"/>
    <xf numFmtId="10" fontId="0" fillId="0" borderId="0" xfId="0" applyNumberFormat="1"/>
    <xf numFmtId="165" fontId="17" fillId="0" borderId="18" xfId="1" applyNumberFormat="1" applyFont="1" applyFill="1" applyBorder="1" applyAlignment="1">
      <alignment horizontal="right"/>
    </xf>
    <xf numFmtId="165" fontId="17" fillId="0" borderId="0" xfId="1" applyNumberFormat="1" applyFont="1" applyFill="1" applyBorder="1"/>
    <xf numFmtId="43" fontId="8" fillId="0" borderId="0" xfId="1" applyFont="1"/>
    <xf numFmtId="40" fontId="0" fillId="0" borderId="0" xfId="1" applyNumberFormat="1" applyFont="1"/>
    <xf numFmtId="38" fontId="4" fillId="0" borderId="0" xfId="0" applyNumberFormat="1" applyFont="1"/>
    <xf numFmtId="38" fontId="4" fillId="0" borderId="0" xfId="1" applyNumberFormat="1" applyFont="1"/>
    <xf numFmtId="0" fontId="4" fillId="0" borderId="0" xfId="0" quotePrefix="1" applyFont="1"/>
    <xf numFmtId="38" fontId="4" fillId="0" borderId="0" xfId="1" applyNumberFormat="1" applyFont="1" applyBorder="1"/>
    <xf numFmtId="38" fontId="4" fillId="0" borderId="0" xfId="1" applyNumberFormat="1" applyFont="1" applyFill="1" applyBorder="1"/>
    <xf numFmtId="38" fontId="3" fillId="0" borderId="1" xfId="1" applyNumberFormat="1" applyFont="1" applyBorder="1"/>
    <xf numFmtId="40" fontId="4" fillId="0" borderId="0" xfId="1" applyNumberFormat="1" applyFont="1"/>
    <xf numFmtId="0" fontId="20" fillId="0" borderId="0" xfId="0" applyFont="1"/>
    <xf numFmtId="0" fontId="21" fillId="0" borderId="0" xfId="0" applyFont="1"/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38" fontId="3" fillId="0" borderId="3" xfId="1" applyNumberFormat="1" applyFont="1" applyBorder="1"/>
    <xf numFmtId="165" fontId="4" fillId="0" borderId="0" xfId="3" applyNumberFormat="1" applyFont="1"/>
    <xf numFmtId="0" fontId="23" fillId="0" borderId="0" xfId="0" applyFont="1" applyAlignment="1">
      <alignment vertical="center"/>
    </xf>
    <xf numFmtId="165" fontId="23" fillId="0" borderId="0" xfId="1" applyNumberFormat="1" applyFont="1"/>
    <xf numFmtId="3" fontId="8" fillId="0" borderId="1" xfId="0" applyNumberFormat="1" applyFont="1" applyBorder="1"/>
    <xf numFmtId="3" fontId="0" fillId="0" borderId="1" xfId="0" applyNumberFormat="1" applyBorder="1"/>
    <xf numFmtId="22" fontId="2" fillId="0" borderId="0" xfId="0" applyNumberFormat="1" applyFont="1" applyFill="1" applyAlignment="1">
      <alignment horizontal="center" wrapText="1"/>
    </xf>
    <xf numFmtId="43" fontId="11" fillId="0" borderId="0" xfId="1" applyNumberFormat="1" applyFont="1" applyFill="1"/>
    <xf numFmtId="166" fontId="4" fillId="0" borderId="3" xfId="8" applyNumberFormat="1" applyFont="1" applyBorder="1"/>
    <xf numFmtId="43" fontId="2" fillId="0" borderId="0" xfId="1" applyFont="1" applyFill="1"/>
    <xf numFmtId="43" fontId="8" fillId="0" borderId="0" xfId="1" applyNumberFormat="1" applyFont="1"/>
    <xf numFmtId="165" fontId="8" fillId="0" borderId="0" xfId="1" applyNumberFormat="1" applyFont="1"/>
    <xf numFmtId="170" fontId="6" fillId="0" borderId="0" xfId="17" applyNumberFormat="1" applyFont="1"/>
    <xf numFmtId="165" fontId="2" fillId="9" borderId="0" xfId="1" applyNumberFormat="1" applyFont="1" applyFill="1"/>
    <xf numFmtId="165" fontId="11" fillId="9" borderId="0" xfId="1" applyNumberFormat="1" applyFont="1" applyFill="1"/>
    <xf numFmtId="43" fontId="14" fillId="0" borderId="0" xfId="1" applyFont="1"/>
    <xf numFmtId="165" fontId="3" fillId="0" borderId="0" xfId="17" quotePrefix="1" applyNumberFormat="1" applyFont="1"/>
    <xf numFmtId="44" fontId="6" fillId="0" borderId="0" xfId="0" applyNumberFormat="1" applyFont="1"/>
    <xf numFmtId="43" fontId="23" fillId="0" borderId="0" xfId="1" applyNumberFormat="1" applyFont="1" applyAlignment="1">
      <alignment horizontal="center"/>
    </xf>
    <xf numFmtId="165" fontId="2" fillId="0" borderId="1" xfId="1" applyNumberFormat="1" applyFont="1" applyFill="1" applyBorder="1"/>
    <xf numFmtId="43" fontId="11" fillId="0" borderId="0" xfId="1" applyFont="1" applyFill="1"/>
    <xf numFmtId="38" fontId="4" fillId="0" borderId="0" xfId="1" applyNumberFormat="1" applyFont="1" applyFill="1"/>
    <xf numFmtId="0" fontId="8" fillId="0" borderId="0" xfId="0" applyFont="1" applyFill="1"/>
    <xf numFmtId="43" fontId="6" fillId="0" borderId="0" xfId="0" applyNumberFormat="1" applyFont="1" applyFill="1"/>
    <xf numFmtId="43" fontId="0" fillId="0" borderId="0" xfId="1" applyFont="1" applyFill="1" applyBorder="1"/>
    <xf numFmtId="10" fontId="0" fillId="0" borderId="0" xfId="17" applyNumberFormat="1" applyFont="1" applyFill="1" applyBorder="1"/>
    <xf numFmtId="10" fontId="0" fillId="0" borderId="0" xfId="0" applyNumberFormat="1" applyFill="1"/>
    <xf numFmtId="10" fontId="0" fillId="0" borderId="0" xfId="17" applyNumberFormat="1" applyFont="1" applyFill="1"/>
    <xf numFmtId="165" fontId="8" fillId="0" borderId="1" xfId="1" applyNumberFormat="1" applyFont="1" applyBorder="1"/>
    <xf numFmtId="165" fontId="3" fillId="0" borderId="10" xfId="1" applyNumberFormat="1" applyFont="1" applyFill="1" applyBorder="1" applyAlignment="1">
      <alignment horizontal="center" wrapText="1"/>
    </xf>
    <xf numFmtId="165" fontId="3" fillId="0" borderId="0" xfId="1" applyNumberFormat="1" applyFont="1" applyFill="1" applyBorder="1" applyAlignment="1">
      <alignment horizontal="center" wrapText="1"/>
    </xf>
    <xf numFmtId="43" fontId="6" fillId="0" borderId="0" xfId="1" applyFont="1"/>
    <xf numFmtId="43" fontId="0" fillId="0" borderId="0" xfId="1" applyNumberFormat="1" applyFont="1" applyFill="1"/>
    <xf numFmtId="167" fontId="0" fillId="0" borderId="0" xfId="0" applyNumberFormat="1"/>
    <xf numFmtId="166" fontId="2" fillId="7" borderId="0" xfId="8" applyNumberFormat="1" applyFont="1" applyFill="1" applyBorder="1"/>
    <xf numFmtId="43" fontId="11" fillId="0" borderId="0" xfId="1" applyFont="1"/>
    <xf numFmtId="0" fontId="0" fillId="0" borderId="0" xfId="0" quotePrefix="1" applyAlignment="1">
      <alignment horizontal="right"/>
    </xf>
    <xf numFmtId="166" fontId="0" fillId="0" borderId="0" xfId="8" applyNumberFormat="1" applyFont="1"/>
    <xf numFmtId="43" fontId="11" fillId="0" borderId="0" xfId="0" applyNumberFormat="1" applyFont="1"/>
    <xf numFmtId="165" fontId="4" fillId="0" borderId="3" xfId="1" applyNumberFormat="1" applyFont="1" applyFill="1" applyBorder="1"/>
    <xf numFmtId="168" fontId="8" fillId="0" borderId="0" xfId="1" applyNumberFormat="1" applyFont="1"/>
    <xf numFmtId="172" fontId="4" fillId="0" borderId="0" xfId="8" applyNumberFormat="1" applyFont="1"/>
    <xf numFmtId="164" fontId="4" fillId="0" borderId="0" xfId="1" applyNumberFormat="1" applyFont="1"/>
    <xf numFmtId="171" fontId="0" fillId="0" borderId="0" xfId="1" applyNumberFormat="1" applyFont="1"/>
    <xf numFmtId="0" fontId="8" fillId="0" borderId="0" xfId="0" applyFont="1" applyAlignment="1">
      <alignment wrapText="1"/>
    </xf>
    <xf numFmtId="3" fontId="8" fillId="0" borderId="0" xfId="0" applyNumberFormat="1" applyFont="1" applyAlignment="1">
      <alignment horizontal="center"/>
    </xf>
    <xf numFmtId="3" fontId="0" fillId="0" borderId="3" xfId="0" applyNumberFormat="1" applyBorder="1"/>
    <xf numFmtId="43" fontId="4" fillId="7" borderId="1" xfId="1" applyNumberFormat="1" applyFont="1" applyFill="1" applyBorder="1"/>
    <xf numFmtId="165" fontId="11" fillId="10" borderId="1" xfId="1" applyNumberFormat="1" applyFont="1" applyFill="1" applyBorder="1"/>
    <xf numFmtId="165" fontId="17" fillId="10" borderId="19" xfId="1" applyNumberFormat="1" applyFont="1" applyFill="1" applyBorder="1"/>
    <xf numFmtId="166" fontId="11" fillId="10" borderId="5" xfId="8" applyNumberFormat="1" applyFont="1" applyFill="1" applyBorder="1"/>
    <xf numFmtId="165" fontId="3" fillId="0" borderId="3" xfId="1" applyNumberFormat="1" applyFont="1" applyFill="1" applyBorder="1" applyAlignment="1">
      <alignment horizontal="center" wrapText="1"/>
    </xf>
    <xf numFmtId="165" fontId="3" fillId="0" borderId="0" xfId="3" applyNumberFormat="1" applyFont="1" applyFill="1"/>
    <xf numFmtId="43" fontId="0" fillId="0" borderId="0" xfId="2" applyFont="1"/>
    <xf numFmtId="0" fontId="0" fillId="0" borderId="0" xfId="0" applyAlignment="1">
      <alignment horizontal="center"/>
    </xf>
    <xf numFmtId="38" fontId="0" fillId="0" borderId="0" xfId="0" applyNumberFormat="1"/>
    <xf numFmtId="0" fontId="8" fillId="0" borderId="0" xfId="0" applyFont="1" applyAlignment="1">
      <alignment horizontal="center"/>
    </xf>
    <xf numFmtId="38" fontId="0" fillId="0" borderId="20" xfId="0" applyNumberFormat="1" applyBorder="1"/>
    <xf numFmtId="165" fontId="2" fillId="11" borderId="0" xfId="1" applyNumberFormat="1" applyFont="1" applyFill="1" applyBorder="1"/>
    <xf numFmtId="43" fontId="0" fillId="0" borderId="0" xfId="1" applyFont="1" applyFill="1"/>
    <xf numFmtId="166" fontId="28" fillId="0" borderId="0" xfId="8" applyNumberFormat="1" applyFont="1" applyFill="1"/>
    <xf numFmtId="43" fontId="28" fillId="0" borderId="0" xfId="1" applyFont="1" applyFill="1"/>
    <xf numFmtId="10" fontId="28" fillId="0" borderId="0" xfId="17" applyNumberFormat="1" applyFont="1" applyFill="1"/>
    <xf numFmtId="3" fontId="8" fillId="0" borderId="0" xfId="0" applyNumberFormat="1" applyFont="1" applyFill="1"/>
    <xf numFmtId="43" fontId="29" fillId="0" borderId="20" xfId="1" applyFont="1" applyFill="1" applyBorder="1" applyAlignment="1">
      <alignment horizontal="right" wrapText="1"/>
    </xf>
    <xf numFmtId="40" fontId="0" fillId="0" borderId="0" xfId="0" applyNumberFormat="1"/>
    <xf numFmtId="40" fontId="0" fillId="0" borderId="17" xfId="0" applyNumberFormat="1" applyBorder="1"/>
    <xf numFmtId="0" fontId="30" fillId="0" borderId="0" xfId="0" applyFont="1" applyAlignment="1">
      <alignment vertical="center" wrapText="1"/>
    </xf>
    <xf numFmtId="6" fontId="32" fillId="0" borderId="0" xfId="0" applyNumberFormat="1" applyFont="1" applyAlignment="1">
      <alignment horizontal="right"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top"/>
    </xf>
    <xf numFmtId="0" fontId="31" fillId="0" borderId="0" xfId="0" applyFont="1" applyAlignment="1">
      <alignment horizontal="center" vertical="center" wrapText="1"/>
    </xf>
    <xf numFmtId="40" fontId="7" fillId="10" borderId="20" xfId="0" applyNumberFormat="1" applyFont="1" applyFill="1" applyBorder="1"/>
    <xf numFmtId="0" fontId="7" fillId="10" borderId="0" xfId="0" applyFont="1" applyFill="1"/>
    <xf numFmtId="0" fontId="7" fillId="0" borderId="0" xfId="0" applyFont="1"/>
    <xf numFmtId="43" fontId="7" fillId="0" borderId="0" xfId="1" applyNumberFormat="1" applyFont="1"/>
    <xf numFmtId="43" fontId="7" fillId="10" borderId="0" xfId="1" applyNumberFormat="1" applyFont="1" applyFill="1"/>
    <xf numFmtId="43" fontId="7" fillId="12" borderId="0" xfId="1" applyNumberFormat="1" applyFont="1" applyFill="1"/>
    <xf numFmtId="0" fontId="7" fillId="12" borderId="0" xfId="0" applyFont="1" applyFill="1"/>
    <xf numFmtId="40" fontId="7" fillId="12" borderId="0" xfId="0" applyNumberFormat="1" applyFont="1" applyFill="1"/>
    <xf numFmtId="10" fontId="2" fillId="0" borderId="0" xfId="17" applyNumberFormat="1" applyFont="1" applyFill="1"/>
    <xf numFmtId="10" fontId="11" fillId="0" borderId="0" xfId="17" applyNumberFormat="1" applyFont="1" applyFill="1"/>
    <xf numFmtId="166" fontId="2" fillId="8" borderId="0" xfId="8" applyNumberFormat="1" applyFont="1" applyFill="1" applyBorder="1"/>
    <xf numFmtId="166" fontId="2" fillId="8" borderId="0" xfId="8" applyNumberFormat="1" applyFont="1" applyFill="1" applyAlignment="1">
      <alignment horizontal="center"/>
    </xf>
    <xf numFmtId="166" fontId="2" fillId="8" borderId="0" xfId="8" applyNumberFormat="1" applyFont="1" applyFill="1"/>
    <xf numFmtId="43" fontId="2" fillId="8" borderId="0" xfId="1" applyFont="1" applyFill="1" applyBorder="1"/>
    <xf numFmtId="165" fontId="2" fillId="8" borderId="0" xfId="1" applyNumberFormat="1" applyFont="1" applyFill="1" applyBorder="1"/>
    <xf numFmtId="166" fontId="3" fillId="8" borderId="0" xfId="8" applyNumberFormat="1" applyFont="1" applyFill="1"/>
    <xf numFmtId="10" fontId="2" fillId="8" borderId="3" xfId="17" applyNumberFormat="1" applyFont="1" applyFill="1" applyBorder="1"/>
    <xf numFmtId="9" fontId="0" fillId="0" borderId="0" xfId="0" applyNumberFormat="1"/>
    <xf numFmtId="165" fontId="3" fillId="10" borderId="0" xfId="1" applyNumberFormat="1" applyFont="1" applyFill="1"/>
    <xf numFmtId="43" fontId="7" fillId="0" borderId="0" xfId="1" applyNumberFormat="1" applyFont="1" applyFill="1"/>
    <xf numFmtId="0" fontId="7" fillId="0" borderId="0" xfId="0" applyFont="1" applyFill="1"/>
    <xf numFmtId="43" fontId="7" fillId="0" borderId="0" xfId="1" applyFont="1" applyFill="1"/>
    <xf numFmtId="43" fontId="34" fillId="0" borderId="0" xfId="1" applyFont="1"/>
    <xf numFmtId="0" fontId="34" fillId="0" borderId="0" xfId="0" applyFont="1"/>
    <xf numFmtId="43" fontId="34" fillId="0" borderId="20" xfId="1" applyFont="1" applyBorder="1"/>
    <xf numFmtId="0" fontId="3" fillId="7" borderId="6" xfId="0" applyFont="1" applyFill="1" applyBorder="1" applyAlignment="1">
      <alignment horizontal="left"/>
    </xf>
    <xf numFmtId="165" fontId="3" fillId="7" borderId="0" xfId="1" applyNumberFormat="1" applyFont="1" applyFill="1"/>
    <xf numFmtId="43" fontId="3" fillId="7" borderId="0" xfId="1" applyFont="1" applyFill="1"/>
    <xf numFmtId="165" fontId="0" fillId="7" borderId="0" xfId="0" applyNumberFormat="1" applyFill="1"/>
    <xf numFmtId="0" fontId="0" fillId="7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38" fontId="0" fillId="0" borderId="10" xfId="0" applyNumberFormat="1" applyBorder="1"/>
    <xf numFmtId="43" fontId="0" fillId="0" borderId="10" xfId="1" applyFont="1" applyBorder="1"/>
    <xf numFmtId="43" fontId="1" fillId="0" borderId="0" xfId="2" applyFont="1" applyFill="1"/>
    <xf numFmtId="0" fontId="3" fillId="0" borderId="1" xfId="0" quotePrefix="1" applyFont="1" applyBorder="1" applyAlignment="1">
      <alignment horizontal="center"/>
    </xf>
    <xf numFmtId="166" fontId="3" fillId="0" borderId="1" xfId="8" applyNumberFormat="1" applyFont="1" applyBorder="1" applyAlignment="1">
      <alignment horizontal="center"/>
    </xf>
    <xf numFmtId="3" fontId="1" fillId="0" borderId="0" xfId="0" applyNumberFormat="1" applyFont="1" applyFill="1"/>
    <xf numFmtId="10" fontId="0" fillId="0" borderId="0" xfId="0" applyNumberFormat="1" applyBorder="1"/>
    <xf numFmtId="3" fontId="1" fillId="0" borderId="0" xfId="0" applyNumberFormat="1" applyFont="1"/>
    <xf numFmtId="10" fontId="0" fillId="0" borderId="0" xfId="17" applyNumberFormat="1" applyFont="1" applyFill="1" applyAlignment="1">
      <alignment wrapText="1"/>
    </xf>
    <xf numFmtId="43" fontId="0" fillId="0" borderId="0" xfId="1" applyFont="1" applyFill="1" applyAlignment="1">
      <alignment wrapText="1"/>
    </xf>
    <xf numFmtId="0" fontId="0" fillId="0" borderId="0" xfId="0" applyFill="1" applyAlignment="1">
      <alignment wrapText="1"/>
    </xf>
    <xf numFmtId="43" fontId="28" fillId="0" borderId="0" xfId="1" applyFont="1" applyFill="1" applyAlignment="1">
      <alignment wrapText="1"/>
    </xf>
    <xf numFmtId="0" fontId="0" fillId="0" borderId="0" xfId="0" applyAlignment="1">
      <alignment wrapText="1"/>
    </xf>
    <xf numFmtId="0" fontId="3" fillId="0" borderId="1" xfId="0" quotePrefix="1" applyFont="1" applyBorder="1" applyAlignment="1">
      <alignment horizontal="center" wrapText="1"/>
    </xf>
    <xf numFmtId="166" fontId="3" fillId="0" borderId="1" xfId="8" applyNumberFormat="1" applyFont="1" applyBorder="1" applyAlignment="1">
      <alignment horizontal="center" wrapText="1"/>
    </xf>
    <xf numFmtId="43" fontId="4" fillId="0" borderId="0" xfId="1" quotePrefix="1" applyFont="1" applyAlignment="1">
      <alignment horizontal="right"/>
    </xf>
    <xf numFmtId="165" fontId="2" fillId="0" borderId="10" xfId="1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43" fontId="7" fillId="0" borderId="0" xfId="1" applyFont="1" applyBorder="1" applyAlignment="1">
      <alignment horizontal="center"/>
    </xf>
    <xf numFmtId="43" fontId="0" fillId="0" borderId="4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4">
    <cellStyle name="Comma" xfId="1" builtinId="3"/>
    <cellStyle name="Comma 2" xfId="2"/>
    <cellStyle name="Comma 3" xfId="3"/>
    <cellStyle name="Comma 3 2" xfId="4"/>
    <cellStyle name="Comma 4" xfId="5"/>
    <cellStyle name="Comma 4 2" xfId="6"/>
    <cellStyle name="Comma 5" xfId="7"/>
    <cellStyle name="Currency" xfId="8" builtinId="4"/>
    <cellStyle name="Currency 2" xfId="9"/>
    <cellStyle name="Currency 3" xfId="10"/>
    <cellStyle name="Currency 3 2" xfId="11"/>
    <cellStyle name="Currency 4" xfId="12"/>
    <cellStyle name="Currency 4 2" xfId="13"/>
    <cellStyle name="Currency 5" xfId="14"/>
    <cellStyle name="Hyperlink" xfId="15" builtinId="8"/>
    <cellStyle name="Normal" xfId="0" builtinId="0"/>
    <cellStyle name="Normal 2" xfId="16"/>
    <cellStyle name="Percent" xfId="17" builtinId="5"/>
    <cellStyle name="Percent 2" xfId="18"/>
    <cellStyle name="Percent 3" xfId="19"/>
    <cellStyle name="Percent 3 2" xfId="20"/>
    <cellStyle name="Percent 4" xfId="21"/>
    <cellStyle name="Percent 4 2" xfId="22"/>
    <cellStyle name="Percent 5" xfId="23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s/FY%2019-20/Adopted%20Budget/Allocations/2019-20%20Adopted%20Allocation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llege\do\2010-11%20Budget%20Stuff\Tentative%202010-11%20Carryover%20Calculations%20version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s/FY%2019-20/Adopted%20Budget/Revenue_Expense/Budget%20Summary%20Adopted%20for%20Budget%20Devl%20Confirmation%20v100_0822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8-19%20Budget%20Stuff\2018-19%20Final%20Carryover%20V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s/FY%2017-18/Adopted%20Budget/Allocation/2017-18%20R1%20Final%20Allocat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s/FY%2020-21/Tentative%20Budget/DO%20Stuff/Compiled%20Documents/2020-21%20DO%20Tentative%20Budget%20V4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Beginning Balances"/>
      <sheetName val="Summary Allocations"/>
      <sheetName val="Budget Premisis"/>
      <sheetName val="Income to be Allocated"/>
      <sheetName val="Apportionment"/>
      <sheetName val="Foundation Calculations"/>
      <sheetName val="District Costs"/>
      <sheetName val="Base FTES Allocations"/>
      <sheetName val="Base Adj"/>
      <sheetName val="FTES COLA Allocation"/>
      <sheetName val="FTES Growth Allocations"/>
      <sheetName val="Deficit Adj"/>
      <sheetName val="FTES Decline Mechanism"/>
      <sheetName val="Other Income  Inc -Decline "/>
    </sheetNames>
    <sheetDataSet>
      <sheetData sheetId="0"/>
      <sheetData sheetId="1"/>
      <sheetData sheetId="2">
        <row r="8">
          <cell r="G8">
            <v>0.35352563858032227</v>
          </cell>
          <cell r="H8">
            <v>21499690.120000001</v>
          </cell>
        </row>
        <row r="25">
          <cell r="D25">
            <v>7416717.6515999995</v>
          </cell>
          <cell r="E25">
            <v>5731097.2812000001</v>
          </cell>
          <cell r="F25">
            <v>4045480.0085999998</v>
          </cell>
        </row>
        <row r="44">
          <cell r="D44">
            <v>102272494.55447847</v>
          </cell>
          <cell r="E44">
            <v>19632692.632877342</v>
          </cell>
          <cell r="F44">
            <v>19349309.821075376</v>
          </cell>
          <cell r="I44">
            <v>141254497.0084312</v>
          </cell>
        </row>
        <row r="48">
          <cell r="G48">
            <v>914012</v>
          </cell>
          <cell r="H48">
            <v>-914012</v>
          </cell>
        </row>
        <row r="53">
          <cell r="D53">
            <v>-21303664.694773823</v>
          </cell>
          <cell r="E53">
            <v>-4070915.5687307855</v>
          </cell>
          <cell r="F53">
            <v>-3971519.7364953882</v>
          </cell>
          <cell r="G53">
            <v>29346100</v>
          </cell>
        </row>
        <row r="57">
          <cell r="D57">
            <v>88385547.511304647</v>
          </cell>
          <cell r="E57">
            <v>21292874.345346555</v>
          </cell>
          <cell r="F57">
            <v>19423270.09317999</v>
          </cell>
          <cell r="G57">
            <v>30260112</v>
          </cell>
          <cell r="H57">
            <v>20585678.120000001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Carryover Analysis"/>
      <sheetName val="DO Onet Time Expenditures"/>
      <sheetName val="2010-11 Carryover"/>
      <sheetName val="Macro1"/>
    </sheetNames>
    <sheetDataSet>
      <sheetData sheetId="0"/>
      <sheetData sheetId="1"/>
      <sheetData sheetId="2">
        <row r="42">
          <cell r="H42">
            <v>26718741.111284718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CCD_EXP"/>
      <sheetName val="BC_EXP"/>
      <sheetName val="CC_EXP"/>
      <sheetName val="PC_EXP"/>
      <sheetName val="DO_EXP"/>
    </sheetNames>
    <sheetDataSet>
      <sheetData sheetId="0">
        <row r="15">
          <cell r="C15">
            <v>15767500</v>
          </cell>
          <cell r="D15">
            <v>157362</v>
          </cell>
          <cell r="F15">
            <v>4687862</v>
          </cell>
          <cell r="G15">
            <v>0</v>
          </cell>
          <cell r="I15">
            <v>7306236</v>
          </cell>
          <cell r="J15">
            <v>0</v>
          </cell>
          <cell r="L15">
            <v>21499439.809999999</v>
          </cell>
          <cell r="M15">
            <v>893145.76</v>
          </cell>
        </row>
        <row r="98">
          <cell r="M98">
            <v>1314169.58</v>
          </cell>
        </row>
        <row r="100">
          <cell r="O100">
            <v>213000338.18000001</v>
          </cell>
        </row>
        <row r="104">
          <cell r="C104">
            <v>2298807</v>
          </cell>
          <cell r="F104">
            <v>382300</v>
          </cell>
          <cell r="I104">
            <v>245725</v>
          </cell>
        </row>
      </sheetData>
      <sheetData sheetId="1"/>
      <sheetData sheetId="2">
        <row r="213">
          <cell r="H213">
            <v>16193052.779999999</v>
          </cell>
        </row>
      </sheetData>
      <sheetData sheetId="3">
        <row r="188">
          <cell r="H188">
            <v>3039947.39</v>
          </cell>
        </row>
      </sheetData>
      <sheetData sheetId="4">
        <row r="193">
          <cell r="H193">
            <v>6700660.7599999998</v>
          </cell>
        </row>
      </sheetData>
      <sheetData sheetId="5">
        <row r="179">
          <cell r="H179">
            <v>20585678.079999998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heet1"/>
      <sheetName val="Unrestricted_1"/>
      <sheetName val="Enrollement Fee Revenue_4"/>
      <sheetName val="Restricted_2"/>
      <sheetName val="DO Chargeback to BC_5"/>
    </sheetNames>
    <sheetDataSet>
      <sheetData sheetId="0">
        <row r="68">
          <cell r="C68">
            <v>21496878.579737905</v>
          </cell>
          <cell r="D68">
            <v>6046732.0703075696</v>
          </cell>
          <cell r="E68">
            <v>7891990.7600230351</v>
          </cell>
          <cell r="G68">
            <v>30834959.18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2% BFAP"/>
      <sheetName val="Summary Allocations"/>
      <sheetName val="Budget Premisis"/>
      <sheetName val="Income to be Allocated"/>
      <sheetName val="Apportionment"/>
      <sheetName val="Foundation Calculations"/>
      <sheetName val="District Costs"/>
      <sheetName val="Base FTES Allocations"/>
      <sheetName val="Base Adj"/>
      <sheetName val="FTES COLA Allocation"/>
      <sheetName val="FTES Growth Allocations"/>
      <sheetName val="Deficit Adj"/>
      <sheetName val="FTES Decline Mechanism"/>
      <sheetName val="Other Income  Inc -Decline "/>
    </sheetNames>
    <sheetDataSet>
      <sheetData sheetId="0"/>
      <sheetData sheetId="1"/>
      <sheetData sheetId="2"/>
      <sheetData sheetId="3"/>
      <sheetData sheetId="4"/>
      <sheetData sheetId="5">
        <row r="251">
          <cell r="D251">
            <v>17314768</v>
          </cell>
        </row>
        <row r="252">
          <cell r="D252">
            <v>110698966.74065313</v>
          </cell>
        </row>
        <row r="253">
          <cell r="D253">
            <v>229950.93011967998</v>
          </cell>
        </row>
        <row r="254">
          <cell r="D254">
            <v>0</v>
          </cell>
        </row>
        <row r="255">
          <cell r="D255">
            <v>6545262</v>
          </cell>
        </row>
        <row r="260">
          <cell r="D260">
            <v>4273449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on-Labor Pivot"/>
      <sheetName val="Non Labor Variance 2"/>
      <sheetName val="DO_Non-Labor Tentative"/>
      <sheetName val="Labor Pivot"/>
      <sheetName val="20-21 DO_Labor_Tentative"/>
      <sheetName val="GU001_STRS_PERS_PT"/>
      <sheetName val="Health Benefit Change"/>
      <sheetName val="Worker Comp Analysis"/>
      <sheetName val="GU001_Labor_PT"/>
      <sheetName val="Non_Labor_PT"/>
      <sheetName val="Non_Labor_Variance"/>
      <sheetName val="Sheet2"/>
    </sheetNames>
    <sheetDataSet>
      <sheetData sheetId="0">
        <row r="54">
          <cell r="J54">
            <v>-1538150</v>
          </cell>
        </row>
        <row r="59">
          <cell r="J59">
            <v>31401207.582077824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opLeftCell="C10" workbookViewId="0">
      <selection activeCell="C24" sqref="C24"/>
    </sheetView>
  </sheetViews>
  <sheetFormatPr defaultRowHeight="12.75" x14ac:dyDescent="0.2"/>
  <cols>
    <col min="1" max="1" width="52.42578125" bestFit="1" customWidth="1"/>
    <col min="2" max="7" width="19" customWidth="1"/>
    <col min="8" max="8" width="18.7109375" bestFit="1" customWidth="1"/>
    <col min="9" max="9" width="24" bestFit="1" customWidth="1"/>
  </cols>
  <sheetData>
    <row r="1" spans="1:9" s="304" customFormat="1" ht="20.25" x14ac:dyDescent="0.3">
      <c r="A1" s="303" t="s">
        <v>5</v>
      </c>
    </row>
    <row r="2" spans="1:9" s="304" customFormat="1" ht="20.25" x14ac:dyDescent="0.3">
      <c r="A2" s="303" t="s">
        <v>324</v>
      </c>
    </row>
    <row r="3" spans="1:9" s="304" customFormat="1" ht="20.25" x14ac:dyDescent="0.3"/>
    <row r="4" spans="1:9" s="306" customFormat="1" ht="54.75" thickBot="1" x14ac:dyDescent="0.3">
      <c r="A4" s="305" t="s">
        <v>325</v>
      </c>
      <c r="B4" s="305" t="s">
        <v>1</v>
      </c>
      <c r="C4" s="305" t="s">
        <v>2</v>
      </c>
      <c r="D4" s="305" t="s">
        <v>3</v>
      </c>
      <c r="E4" s="305" t="s">
        <v>203</v>
      </c>
      <c r="F4" s="305" t="s">
        <v>204</v>
      </c>
      <c r="G4" s="305" t="s">
        <v>4</v>
      </c>
    </row>
    <row r="5" spans="1:9" s="2" customFormat="1" ht="20.25" customHeight="1" thickBot="1" x14ac:dyDescent="0.3">
      <c r="A5" s="195" t="s">
        <v>326</v>
      </c>
      <c r="B5" s="307">
        <f>+'Summary Allocations'!D63</f>
        <v>88385547.511304647</v>
      </c>
      <c r="C5" s="307">
        <f>+'Summary Allocations'!E63</f>
        <v>21292874.345346555</v>
      </c>
      <c r="D5" s="307">
        <f>+'Summary Allocations'!F63</f>
        <v>19423270.09317999</v>
      </c>
      <c r="E5" s="307">
        <f>+'Summary Allocations'!G63</f>
        <v>30260112</v>
      </c>
      <c r="F5" s="307">
        <f>+'Summary Allocations'!H63</f>
        <v>20585678.120000001</v>
      </c>
      <c r="G5" s="307">
        <f>SUM(B5:F5)</f>
        <v>179947482.06983119</v>
      </c>
    </row>
    <row r="6" spans="1:9" s="4" customFormat="1" ht="15" x14ac:dyDescent="0.2">
      <c r="B6" s="296"/>
      <c r="C6" s="296"/>
      <c r="D6" s="296"/>
      <c r="E6" s="296"/>
      <c r="F6" s="296"/>
      <c r="G6" s="296"/>
    </row>
    <row r="7" spans="1:9" s="4" customFormat="1" ht="16.5" thickBot="1" x14ac:dyDescent="0.3">
      <c r="A7" s="31" t="s">
        <v>220</v>
      </c>
      <c r="B7" s="297">
        <v>0</v>
      </c>
      <c r="C7" s="297">
        <v>0</v>
      </c>
      <c r="D7" s="297">
        <v>0</v>
      </c>
      <c r="E7" s="297">
        <f>+'Summary Allocations'!G8-'[1]Summary Allocations'!G8</f>
        <v>-0.35352563858032227</v>
      </c>
      <c r="F7" s="297">
        <f>+'Summary Allocations'!H8-'[1]Summary Allocations'!H8</f>
        <v>8421507.3299999982</v>
      </c>
      <c r="G7" s="328">
        <f>SUM(B7:F7)</f>
        <v>8421506.9764743596</v>
      </c>
      <c r="I7" s="296">
        <f>SUM(B7:E7)</f>
        <v>-0.35352563858032227</v>
      </c>
    </row>
    <row r="8" spans="1:9" s="4" customFormat="1" ht="15" x14ac:dyDescent="0.2">
      <c r="B8" s="297"/>
      <c r="C8" s="297"/>
      <c r="D8" s="297"/>
      <c r="E8" s="297"/>
      <c r="F8" s="297"/>
      <c r="G8" s="328"/>
    </row>
    <row r="9" spans="1:9" s="4" customFormat="1" ht="15.75" x14ac:dyDescent="0.25">
      <c r="A9" s="2" t="s">
        <v>205</v>
      </c>
      <c r="B9" s="297">
        <f>+'Summary Allocations'!D21</f>
        <v>38.56840000115335</v>
      </c>
      <c r="C9" s="297">
        <f>+'Summary Allocations'!E21</f>
        <v>32.108799999579787</v>
      </c>
      <c r="D9" s="297">
        <f>+'Summary Allocations'!F21</f>
        <v>22.271399999968708</v>
      </c>
      <c r="E9" s="297">
        <f>+'Summary Allocations'!G21</f>
        <v>0</v>
      </c>
      <c r="F9" s="297">
        <f>+'Summary Allocations'!H21</f>
        <v>0</v>
      </c>
      <c r="G9" s="328">
        <f>SUM(B9:F9)</f>
        <v>92.948600000701845</v>
      </c>
    </row>
    <row r="10" spans="1:9" s="4" customFormat="1" ht="15" x14ac:dyDescent="0.2">
      <c r="B10" s="297"/>
      <c r="C10" s="297"/>
      <c r="D10" s="297"/>
      <c r="E10" s="297"/>
      <c r="F10" s="297"/>
      <c r="G10" s="328"/>
    </row>
    <row r="11" spans="1:9" s="4" customFormat="1" ht="16.5" thickBot="1" x14ac:dyDescent="0.3">
      <c r="A11" s="31" t="s">
        <v>206</v>
      </c>
      <c r="B11" s="297"/>
      <c r="C11" s="297"/>
      <c r="D11" s="297"/>
      <c r="E11" s="297"/>
      <c r="F11" s="297"/>
      <c r="G11" s="328"/>
    </row>
    <row r="12" spans="1:9" s="4" customFormat="1" ht="15" x14ac:dyDescent="0.2">
      <c r="A12" s="298" t="s">
        <v>207</v>
      </c>
      <c r="B12" s="328">
        <f>+'Summary Allocations'!D31</f>
        <v>4600694.6798106236</v>
      </c>
      <c r="C12" s="328">
        <f>+'Summary Allocations'!E31</f>
        <v>843685.15445698076</v>
      </c>
      <c r="D12" s="328">
        <f>+'Summary Allocations'!F31</f>
        <v>880180.04895786662</v>
      </c>
      <c r="E12" s="328">
        <f>+'Summary Allocations'!G31</f>
        <v>0</v>
      </c>
      <c r="F12" s="328">
        <f>+'Summary Allocations'!H31</f>
        <v>0</v>
      </c>
      <c r="G12" s="328">
        <f>SUM(B12:F12)</f>
        <v>6324559.8832254708</v>
      </c>
    </row>
    <row r="13" spans="1:9" s="4" customFormat="1" ht="15" x14ac:dyDescent="0.2">
      <c r="B13" s="297"/>
      <c r="C13" s="297"/>
      <c r="D13" s="297"/>
      <c r="E13" s="297"/>
      <c r="F13" s="297"/>
      <c r="G13" s="328"/>
    </row>
    <row r="14" spans="1:9" s="4" customFormat="1" ht="15" x14ac:dyDescent="0.2">
      <c r="A14" s="298" t="s">
        <v>208</v>
      </c>
      <c r="B14" s="299">
        <f>+'Summary Allocations'!D33</f>
        <v>0</v>
      </c>
      <c r="C14" s="299">
        <f>+'Summary Allocations'!E33</f>
        <v>0</v>
      </c>
      <c r="D14" s="299">
        <f>+'Summary Allocations'!F33</f>
        <v>0</v>
      </c>
      <c r="E14" s="299">
        <f>+'Summary Allocations'!G33</f>
        <v>0</v>
      </c>
      <c r="F14" s="299">
        <f>+'Summary Allocations'!H33</f>
        <v>0</v>
      </c>
      <c r="G14" s="328">
        <f>SUM(B14:F14)</f>
        <v>0</v>
      </c>
    </row>
    <row r="15" spans="1:9" s="4" customFormat="1" ht="15" x14ac:dyDescent="0.2">
      <c r="B15" s="297"/>
      <c r="C15" s="297"/>
      <c r="D15" s="297"/>
      <c r="E15" s="297"/>
      <c r="F15" s="297"/>
      <c r="G15" s="328"/>
    </row>
    <row r="16" spans="1:9" s="4" customFormat="1" ht="15" x14ac:dyDescent="0.2">
      <c r="A16" s="4" t="s">
        <v>217</v>
      </c>
      <c r="B16" s="297">
        <f>+'Summary Allocations'!D35</f>
        <v>0</v>
      </c>
      <c r="C16" s="297">
        <f>+'Summary Allocations'!E35</f>
        <v>0</v>
      </c>
      <c r="D16" s="297">
        <f>+'Summary Allocations'!F35</f>
        <v>0</v>
      </c>
      <c r="E16" s="297">
        <f>+'Summary Allocations'!G35</f>
        <v>0</v>
      </c>
      <c r="F16" s="297">
        <f>+'Summary Allocations'!H35</f>
        <v>0</v>
      </c>
      <c r="G16" s="328">
        <f>SUM(B16:F16)</f>
        <v>0</v>
      </c>
    </row>
    <row r="17" spans="1:9" s="4" customFormat="1" ht="15" x14ac:dyDescent="0.2">
      <c r="B17" s="297"/>
      <c r="C17" s="297"/>
      <c r="D17" s="297"/>
      <c r="E17" s="297"/>
      <c r="F17" s="297"/>
      <c r="G17" s="328"/>
    </row>
    <row r="18" spans="1:9" s="4" customFormat="1" ht="15" x14ac:dyDescent="0.2">
      <c r="A18" s="4" t="s">
        <v>231</v>
      </c>
      <c r="B18" s="297">
        <f>SUM('Summary Allocations'!D37:D38)</f>
        <v>0</v>
      </c>
      <c r="C18" s="297">
        <f>SUM('Summary Allocations'!E37:E38)</f>
        <v>0</v>
      </c>
      <c r="D18" s="297">
        <f>SUM('Summary Allocations'!F37:F38)</f>
        <v>0</v>
      </c>
      <c r="E18" s="297">
        <f>SUM('Summary Allocations'!G37:G38)</f>
        <v>0</v>
      </c>
      <c r="F18" s="297">
        <f>SUM('Summary Allocations'!H37:H38)</f>
        <v>0</v>
      </c>
      <c r="G18" s="328">
        <f>SUM(B18:F18)</f>
        <v>0</v>
      </c>
    </row>
    <row r="19" spans="1:9" s="4" customFormat="1" ht="15" x14ac:dyDescent="0.2">
      <c r="B19" s="297"/>
      <c r="C19" s="297"/>
      <c r="D19" s="297"/>
      <c r="E19" s="297"/>
      <c r="F19" s="297"/>
      <c r="G19" s="328"/>
    </row>
    <row r="20" spans="1:9" s="4" customFormat="1" ht="15" x14ac:dyDescent="0.2">
      <c r="A20" s="23" t="s">
        <v>229</v>
      </c>
      <c r="B20" s="297">
        <f>+'Summary Allocations'!D40</f>
        <v>0</v>
      </c>
      <c r="C20" s="297">
        <f>+'Summary Allocations'!E40</f>
        <v>0</v>
      </c>
      <c r="D20" s="297">
        <f>+'Summary Allocations'!F40</f>
        <v>0</v>
      </c>
      <c r="E20" s="297">
        <f>+'Summary Allocations'!G40</f>
        <v>0</v>
      </c>
      <c r="F20" s="297">
        <f>+'Summary Allocations'!H40</f>
        <v>0</v>
      </c>
      <c r="G20" s="328">
        <f>SUM(B20:F20)</f>
        <v>0</v>
      </c>
    </row>
    <row r="21" spans="1:9" s="4" customFormat="1" ht="15" x14ac:dyDescent="0.2">
      <c r="B21" s="297"/>
      <c r="C21" s="297"/>
      <c r="D21" s="297"/>
      <c r="E21" s="297"/>
      <c r="F21" s="297"/>
      <c r="G21" s="297"/>
    </row>
    <row r="22" spans="1:9" s="4" customFormat="1" ht="15" x14ac:dyDescent="0.2">
      <c r="A22" s="4" t="s">
        <v>219</v>
      </c>
      <c r="B22" s="297">
        <f>+'Summary Allocations'!D48</f>
        <v>0</v>
      </c>
      <c r="C22" s="297">
        <f>+'Summary Allocations'!E48</f>
        <v>0</v>
      </c>
      <c r="D22" s="297">
        <f>+'Summary Allocations'!F48</f>
        <v>0</v>
      </c>
      <c r="E22" s="297">
        <f>+'Summary Allocations'!G48-'[1]Summary Allocations'!G48</f>
        <v>624138</v>
      </c>
      <c r="F22" s="297">
        <f>+'Summary Allocations'!H48-'[1]Summary Allocations'!H48</f>
        <v>-624138</v>
      </c>
      <c r="G22" s="297">
        <f>SUM(B22:F22)</f>
        <v>0</v>
      </c>
    </row>
    <row r="23" spans="1:9" s="4" customFormat="1" ht="15" x14ac:dyDescent="0.2">
      <c r="B23" s="297"/>
      <c r="C23" s="297"/>
      <c r="D23" s="297"/>
      <c r="E23" s="297"/>
      <c r="F23" s="297"/>
      <c r="G23" s="297"/>
    </row>
    <row r="24" spans="1:9" s="4" customFormat="1" ht="15" x14ac:dyDescent="0.2">
      <c r="A24" s="4" t="s">
        <v>211</v>
      </c>
      <c r="B24" s="300">
        <f>+'Summary Allocations'!D53-'[1]Summary Allocations'!D53</f>
        <v>-426350.75107511505</v>
      </c>
      <c r="C24" s="300">
        <f>+'Summary Allocations'!E53-'[1]Summary Allocations'!E53</f>
        <v>109010.83034987701</v>
      </c>
      <c r="D24" s="300">
        <f>+'Summary Allocations'!F53-'[1]Summary Allocations'!F53</f>
        <v>-199617.66135258973</v>
      </c>
      <c r="E24" s="300">
        <f>+'Summary Allocations'!G53-'[1]Summary Allocations'!G53</f>
        <v>516957.58207782358</v>
      </c>
      <c r="F24" s="300">
        <f>+'Summary Allocations'!H53-'[1]Summary Allocations'!H53</f>
        <v>0</v>
      </c>
      <c r="G24" s="297">
        <f>SUM(B24:F24)</f>
        <v>-4.1909515857696533E-9</v>
      </c>
    </row>
    <row r="25" spans="1:9" s="4" customFormat="1" ht="15" x14ac:dyDescent="0.2">
      <c r="B25" s="300"/>
      <c r="C25" s="300"/>
      <c r="D25" s="300"/>
      <c r="E25" s="300"/>
      <c r="F25" s="296"/>
      <c r="G25" s="297"/>
    </row>
    <row r="26" spans="1:9" s="4" customFormat="1" ht="15" x14ac:dyDescent="0.2">
      <c r="A26" s="4" t="s">
        <v>218</v>
      </c>
      <c r="B26" s="297">
        <f>+'Summary Allocations'!D42</f>
        <v>436559.43631156633</v>
      </c>
      <c r="C26" s="297">
        <f>+'Summary Allocations'!E42</f>
        <v>80057.195942708655</v>
      </c>
      <c r="D26" s="297">
        <f>+'Summary Allocations'!F42</f>
        <v>83520.192659589797</v>
      </c>
      <c r="E26" s="297">
        <f>+'Summary Allocations'!G42</f>
        <v>0</v>
      </c>
      <c r="F26" s="297">
        <f>+'Summary Allocations'!H42</f>
        <v>0</v>
      </c>
      <c r="G26" s="297">
        <f>SUM(B26:F26)</f>
        <v>600136.82491386472</v>
      </c>
    </row>
    <row r="27" spans="1:9" s="4" customFormat="1" ht="15.75" thickBot="1" x14ac:dyDescent="0.25">
      <c r="B27" s="297"/>
      <c r="C27" s="297"/>
      <c r="D27" s="297"/>
      <c r="E27" s="297"/>
      <c r="F27" s="297"/>
      <c r="G27" s="297"/>
    </row>
    <row r="28" spans="1:9" s="2" customFormat="1" ht="16.5" thickBot="1" x14ac:dyDescent="0.3">
      <c r="A28" s="195" t="s">
        <v>323</v>
      </c>
      <c r="B28" s="307">
        <f t="shared" ref="B28:G28" si="0">SUM(B5:B26)</f>
        <v>92996489.444751725</v>
      </c>
      <c r="C28" s="307">
        <f t="shared" si="0"/>
        <v>22325659.634896122</v>
      </c>
      <c r="D28" s="307">
        <f t="shared" si="0"/>
        <v>20187374.944844857</v>
      </c>
      <c r="E28" s="307">
        <f t="shared" si="0"/>
        <v>31401207.228552185</v>
      </c>
      <c r="F28" s="307">
        <f t="shared" si="0"/>
        <v>28383047.449999999</v>
      </c>
      <c r="G28" s="307">
        <f t="shared" si="0"/>
        <v>195293778.70304486</v>
      </c>
      <c r="H28" s="148">
        <f>+'Summary Allocations'!I57</f>
        <v>195293779.05657053</v>
      </c>
      <c r="I28" s="148">
        <f>+G28-H28</f>
        <v>-0.35352566838264465</v>
      </c>
    </row>
    <row r="29" spans="1:9" s="4" customFormat="1" ht="15" x14ac:dyDescent="0.2">
      <c r="B29" s="302"/>
      <c r="C29" s="302"/>
      <c r="D29" s="302"/>
      <c r="E29" s="302"/>
      <c r="F29" s="302"/>
      <c r="G29" s="302"/>
      <c r="H29" s="296"/>
    </row>
    <row r="30" spans="1:9" s="4" customFormat="1" ht="16.5" thickBot="1" x14ac:dyDescent="0.3">
      <c r="A30" s="67" t="s">
        <v>210</v>
      </c>
      <c r="B30" s="301">
        <f t="shared" ref="B30:G30" si="1">+B28-B5</f>
        <v>4610941.9334470779</v>
      </c>
      <c r="C30" s="301">
        <f t="shared" si="1"/>
        <v>1032785.2895495668</v>
      </c>
      <c r="D30" s="301">
        <f t="shared" si="1"/>
        <v>764104.85166486725</v>
      </c>
      <c r="E30" s="301">
        <f t="shared" si="1"/>
        <v>1141095.228552185</v>
      </c>
      <c r="F30" s="301">
        <f t="shared" si="1"/>
        <v>7797369.3299999982</v>
      </c>
      <c r="G30" s="301">
        <f t="shared" si="1"/>
        <v>15346296.633213669</v>
      </c>
    </row>
    <row r="31" spans="1:9" s="4" customFormat="1" ht="15" x14ac:dyDescent="0.2">
      <c r="B31" s="302"/>
      <c r="C31" s="302"/>
      <c r="D31" s="302"/>
      <c r="E31" s="302"/>
      <c r="F31" s="302"/>
      <c r="G31" s="302"/>
    </row>
    <row r="32" spans="1:9" s="4" customFormat="1" ht="15.75" x14ac:dyDescent="0.25">
      <c r="B32" s="302"/>
      <c r="C32" s="302"/>
      <c r="D32" s="302"/>
      <c r="E32" s="302"/>
      <c r="F32" s="302"/>
      <c r="G32" s="267">
        <f>SUM(B30:F30)</f>
        <v>15346296.633213695</v>
      </c>
    </row>
    <row r="33" spans="2:7" x14ac:dyDescent="0.2">
      <c r="B33" s="295"/>
      <c r="C33" s="295"/>
      <c r="D33" s="295"/>
      <c r="E33" s="295"/>
      <c r="F33" s="295"/>
      <c r="G33" s="295"/>
    </row>
    <row r="34" spans="2:7" x14ac:dyDescent="0.2">
      <c r="B34" s="295"/>
      <c r="C34" s="295"/>
      <c r="D34" s="295"/>
      <c r="E34" s="295"/>
      <c r="F34" s="295"/>
      <c r="G34" s="295"/>
    </row>
    <row r="35" spans="2:7" x14ac:dyDescent="0.2">
      <c r="B35" s="295"/>
      <c r="C35" s="295"/>
      <c r="D35" s="295"/>
      <c r="E35" s="295"/>
      <c r="F35" s="295"/>
      <c r="G35" s="295"/>
    </row>
    <row r="36" spans="2:7" x14ac:dyDescent="0.2">
      <c r="B36" s="295"/>
      <c r="C36" s="295"/>
      <c r="D36" s="295"/>
      <c r="E36" s="295"/>
      <c r="F36" s="295"/>
      <c r="G36" s="295"/>
    </row>
    <row r="37" spans="2:7" x14ac:dyDescent="0.2">
      <c r="B37" s="295"/>
      <c r="C37" s="295"/>
      <c r="D37" s="295"/>
      <c r="E37" s="295"/>
      <c r="F37" s="295"/>
      <c r="G37" s="295"/>
    </row>
    <row r="38" spans="2:7" x14ac:dyDescent="0.2">
      <c r="B38" s="295"/>
      <c r="C38" s="295"/>
      <c r="D38" s="295"/>
      <c r="E38" s="295"/>
      <c r="F38" s="295"/>
      <c r="G38" s="295"/>
    </row>
    <row r="39" spans="2:7" x14ac:dyDescent="0.2">
      <c r="B39" s="295"/>
      <c r="C39" s="295"/>
      <c r="D39" s="295"/>
      <c r="E39" s="295"/>
      <c r="F39" s="295"/>
      <c r="G39" s="295"/>
    </row>
    <row r="40" spans="2:7" x14ac:dyDescent="0.2">
      <c r="B40" s="295"/>
      <c r="C40" s="295"/>
      <c r="D40" s="295"/>
      <c r="E40" s="295"/>
      <c r="F40" s="295"/>
      <c r="G40" s="295"/>
    </row>
    <row r="41" spans="2:7" x14ac:dyDescent="0.2">
      <c r="B41" s="295"/>
      <c r="C41" s="295"/>
      <c r="D41" s="295"/>
      <c r="E41" s="295"/>
      <c r="F41" s="295"/>
      <c r="G41" s="295"/>
    </row>
    <row r="42" spans="2:7" x14ac:dyDescent="0.2">
      <c r="B42" s="295"/>
      <c r="C42" s="295"/>
      <c r="D42" s="295"/>
      <c r="E42" s="295"/>
      <c r="F42" s="295"/>
      <c r="G42" s="295"/>
    </row>
    <row r="43" spans="2:7" x14ac:dyDescent="0.2">
      <c r="B43" s="149"/>
      <c r="C43" s="149"/>
      <c r="D43" s="149"/>
      <c r="E43" s="149"/>
      <c r="F43" s="149"/>
      <c r="G43" s="149"/>
    </row>
    <row r="44" spans="2:7" x14ac:dyDescent="0.2">
      <c r="B44" s="149"/>
      <c r="C44" s="149"/>
      <c r="D44" s="149"/>
      <c r="E44" s="149"/>
      <c r="F44" s="149"/>
      <c r="G44" s="149"/>
    </row>
    <row r="45" spans="2:7" x14ac:dyDescent="0.2">
      <c r="B45" s="149"/>
      <c r="C45" s="149"/>
      <c r="D45" s="149"/>
      <c r="E45" s="149"/>
      <c r="F45" s="149"/>
      <c r="G45" s="149"/>
    </row>
    <row r="46" spans="2:7" x14ac:dyDescent="0.2">
      <c r="B46" s="149"/>
      <c r="C46" s="149"/>
      <c r="D46" s="149"/>
      <c r="E46" s="149"/>
      <c r="F46" s="149"/>
      <c r="G46" s="149"/>
    </row>
    <row r="47" spans="2:7" x14ac:dyDescent="0.2">
      <c r="B47" s="149"/>
      <c r="C47" s="149"/>
      <c r="D47" s="149"/>
      <c r="E47" s="149"/>
      <c r="F47" s="149"/>
      <c r="G47" s="149"/>
    </row>
    <row r="48" spans="2:7" x14ac:dyDescent="0.2">
      <c r="B48" s="149"/>
      <c r="C48" s="149"/>
      <c r="D48" s="149"/>
      <c r="E48" s="149"/>
      <c r="F48" s="149"/>
      <c r="G48" s="149"/>
    </row>
    <row r="49" spans="2:7" x14ac:dyDescent="0.2">
      <c r="B49" s="149"/>
      <c r="C49" s="149"/>
      <c r="D49" s="149"/>
      <c r="E49" s="149"/>
      <c r="F49" s="149"/>
      <c r="G49" s="149"/>
    </row>
    <row r="50" spans="2:7" x14ac:dyDescent="0.2">
      <c r="B50" s="149"/>
      <c r="C50" s="149"/>
      <c r="D50" s="149"/>
      <c r="E50" s="149"/>
      <c r="F50" s="149"/>
      <c r="G50" s="149"/>
    </row>
    <row r="51" spans="2:7" x14ac:dyDescent="0.2">
      <c r="B51" s="149"/>
      <c r="C51" s="149"/>
      <c r="D51" s="149"/>
      <c r="E51" s="149"/>
      <c r="F51" s="149"/>
      <c r="G51" s="149"/>
    </row>
    <row r="52" spans="2:7" x14ac:dyDescent="0.2">
      <c r="B52" s="149"/>
      <c r="C52" s="149"/>
      <c r="D52" s="149"/>
      <c r="E52" s="149"/>
      <c r="F52" s="149"/>
      <c r="G52" s="149"/>
    </row>
    <row r="53" spans="2:7" x14ac:dyDescent="0.2">
      <c r="B53" s="149"/>
      <c r="C53" s="149"/>
      <c r="D53" s="149"/>
      <c r="E53" s="149"/>
      <c r="F53" s="149"/>
      <c r="G53" s="149"/>
    </row>
    <row r="54" spans="2:7" x14ac:dyDescent="0.2">
      <c r="B54" s="149"/>
      <c r="C54" s="149"/>
      <c r="D54" s="149"/>
      <c r="E54" s="149"/>
      <c r="F54" s="149"/>
      <c r="G54" s="149"/>
    </row>
    <row r="55" spans="2:7" x14ac:dyDescent="0.2">
      <c r="B55" s="149"/>
      <c r="C55" s="149"/>
      <c r="D55" s="149"/>
      <c r="E55" s="149"/>
      <c r="F55" s="149"/>
      <c r="G55" s="149"/>
    </row>
  </sheetData>
  <pageMargins left="0.7" right="0.7" top="0.75" bottom="0.75" header="0.3" footer="0.3"/>
  <pageSetup scale="8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F40"/>
  <sheetViews>
    <sheetView topLeftCell="B7" workbookViewId="0">
      <selection activeCell="C22" sqref="C22:E22"/>
    </sheetView>
  </sheetViews>
  <sheetFormatPr defaultRowHeight="15" x14ac:dyDescent="0.2"/>
  <cols>
    <col min="1" max="1" width="84.42578125" customWidth="1"/>
    <col min="2" max="2" width="22" style="4" customWidth="1"/>
    <col min="3" max="3" width="19.42578125" customWidth="1"/>
    <col min="4" max="4" width="20.5703125" style="4" customWidth="1"/>
    <col min="5" max="5" width="19.5703125" style="4" customWidth="1"/>
    <col min="6" max="6" width="17.5703125" customWidth="1"/>
  </cols>
  <sheetData>
    <row r="1" spans="1:6" ht="18" x14ac:dyDescent="0.25">
      <c r="A1" s="1" t="s">
        <v>5</v>
      </c>
      <c r="B1" s="34"/>
      <c r="D1"/>
      <c r="E1"/>
    </row>
    <row r="2" spans="1:6" s="61" customFormat="1" ht="15.75" x14ac:dyDescent="0.25">
      <c r="A2" s="79"/>
      <c r="B2" s="80"/>
    </row>
    <row r="3" spans="1:6" ht="18" x14ac:dyDescent="0.25">
      <c r="A3" s="1" t="s">
        <v>79</v>
      </c>
      <c r="B3" s="2"/>
      <c r="C3" s="1"/>
    </row>
    <row r="5" spans="1:6" s="5" customFormat="1" ht="48" thickBot="1" x14ac:dyDescent="0.3">
      <c r="A5" s="6" t="s">
        <v>0</v>
      </c>
      <c r="B5" s="68"/>
      <c r="C5" s="3" t="s">
        <v>1</v>
      </c>
      <c r="D5" s="3" t="s">
        <v>2</v>
      </c>
      <c r="E5" s="3" t="s">
        <v>3</v>
      </c>
      <c r="F5" s="3" t="s">
        <v>78</v>
      </c>
    </row>
    <row r="7" spans="1:6" s="4" customFormat="1" ht="16.5" thickBot="1" x14ac:dyDescent="0.3">
      <c r="A7" s="31" t="s">
        <v>104</v>
      </c>
      <c r="B7" s="37"/>
    </row>
    <row r="8" spans="1:6" s="4" customFormat="1" ht="16.5" thickBot="1" x14ac:dyDescent="0.3">
      <c r="A8" s="227" t="s">
        <v>163</v>
      </c>
      <c r="B8" s="37">
        <f>+Apportionment!C5-Apportionment!B12-93</f>
        <v>6324559.8832254708</v>
      </c>
    </row>
    <row r="9" spans="1:6" s="4" customFormat="1" ht="16.5" thickBot="1" x14ac:dyDescent="0.3">
      <c r="A9" s="226" t="s">
        <v>4</v>
      </c>
      <c r="B9" s="69">
        <f>SUM(B8:B8)</f>
        <v>6324559.8832254708</v>
      </c>
    </row>
    <row r="10" spans="1:6" s="4" customFormat="1" x14ac:dyDescent="0.2">
      <c r="B10" s="37"/>
    </row>
    <row r="11" spans="1:6" s="4" customFormat="1" x14ac:dyDescent="0.2">
      <c r="A11" s="4" t="s">
        <v>105</v>
      </c>
      <c r="B11" s="37">
        <f>+'Base FTES Allocations'!E22</f>
        <v>140641682.37860939</v>
      </c>
      <c r="C11" s="147"/>
      <c r="D11" s="147"/>
      <c r="E11" s="147"/>
      <c r="F11" s="147"/>
    </row>
    <row r="12" spans="1:6" s="4" customFormat="1" ht="15.75" x14ac:dyDescent="0.25">
      <c r="B12" s="148"/>
    </row>
    <row r="13" spans="1:6" s="4" customFormat="1" x14ac:dyDescent="0.2">
      <c r="A13" s="4" t="s">
        <v>106</v>
      </c>
      <c r="B13" s="25">
        <f>B9/B11</f>
        <v>4.4969313337703584E-2</v>
      </c>
    </row>
    <row r="14" spans="1:6" s="4" customFormat="1" ht="15.75" x14ac:dyDescent="0.25">
      <c r="B14" s="148"/>
    </row>
    <row r="15" spans="1:6" s="4" customFormat="1" x14ac:dyDescent="0.2">
      <c r="A15" s="26" t="s">
        <v>107</v>
      </c>
      <c r="B15" s="37"/>
      <c r="C15" s="147">
        <f>+'Base FTES Allocations'!B17</f>
        <v>4156.2283575105293</v>
      </c>
      <c r="D15" s="147">
        <f>+C15</f>
        <v>4156.2283575105293</v>
      </c>
      <c r="E15" s="147">
        <f>+D15</f>
        <v>4156.2283575105293</v>
      </c>
      <c r="F15" s="147"/>
    </row>
    <row r="16" spans="1:6" s="26" customFormat="1" x14ac:dyDescent="0.2">
      <c r="A16" s="26" t="s">
        <v>108</v>
      </c>
      <c r="C16" s="147">
        <f>+'Base FTES Allocations'!B16</f>
        <v>6589.4046217396872</v>
      </c>
      <c r="D16" s="26">
        <f>+C16</f>
        <v>6589.4046217396872</v>
      </c>
      <c r="E16" s="26">
        <f>+D16</f>
        <v>6589.4046217396872</v>
      </c>
    </row>
    <row r="17" spans="1:6" s="9" customFormat="1" x14ac:dyDescent="0.2"/>
    <row r="18" spans="1:6" s="9" customFormat="1" x14ac:dyDescent="0.2">
      <c r="A18" s="9" t="s">
        <v>109</v>
      </c>
      <c r="C18" s="26">
        <f>+C15*$B$13</f>
        <v>186.90273531194012</v>
      </c>
      <c r="D18" s="26">
        <f>+C18</f>
        <v>186.90273531194012</v>
      </c>
      <c r="E18" s="26">
        <f>+D18</f>
        <v>186.90273531194012</v>
      </c>
      <c r="F18" s="26"/>
    </row>
    <row r="19" spans="1:6" s="9" customFormat="1" x14ac:dyDescent="0.2">
      <c r="A19" s="9" t="s">
        <v>110</v>
      </c>
      <c r="C19" s="26">
        <f>+C16*$B$13</f>
        <v>296.32100114392415</v>
      </c>
      <c r="D19" s="26">
        <f>+C19</f>
        <v>296.32100114392415</v>
      </c>
      <c r="E19" s="140">
        <f>+D19</f>
        <v>296.32100114392415</v>
      </c>
      <c r="F19" s="26"/>
    </row>
    <row r="20" spans="1:6" s="9" customFormat="1" x14ac:dyDescent="0.2"/>
    <row r="21" spans="1:6" s="9" customFormat="1" x14ac:dyDescent="0.2">
      <c r="A21" s="9" t="s">
        <v>137</v>
      </c>
      <c r="C21" s="140">
        <f>+C18*'Base FTES Allocations'!B9</f>
        <v>17247.384414585835</v>
      </c>
      <c r="D21" s="140">
        <f>+D18*'Base FTES Allocations'!C9</f>
        <v>177.55759854634312</v>
      </c>
      <c r="E21" s="140">
        <f>+E18*'Base FTES Allocations'!D9</f>
        <v>4588.4621519081302</v>
      </c>
      <c r="F21" s="140">
        <f>SUM(C21:E21)</f>
        <v>22013.404165040309</v>
      </c>
    </row>
    <row r="22" spans="1:6" s="139" customFormat="1" ht="15.75" thickBot="1" x14ac:dyDescent="0.25">
      <c r="A22" s="139" t="s">
        <v>138</v>
      </c>
      <c r="C22" s="139">
        <f>+C19*'Base FTES Allocations'!B8-C21</f>
        <v>4583447.2953960374</v>
      </c>
      <c r="D22" s="139">
        <f>+D19*'Base FTES Allocations'!C8-D21</f>
        <v>843507.59685843438</v>
      </c>
      <c r="E22" s="139">
        <f>+E19*'Base FTES Allocations'!D8-E21</f>
        <v>875591.58680595853</v>
      </c>
      <c r="F22" s="140">
        <f>SUM(C22:E22)</f>
        <v>6302546.4790604301</v>
      </c>
    </row>
    <row r="23" spans="1:6" s="4" customFormat="1" ht="15.75" thickBot="1" x14ac:dyDescent="0.25">
      <c r="C23" s="176">
        <f>SUM(C21:C22)</f>
        <v>4600694.6798106236</v>
      </c>
      <c r="D23" s="176">
        <f>SUM(D21:D22)</f>
        <v>843685.15445698076</v>
      </c>
      <c r="E23" s="176">
        <f>SUM(E21:E22)</f>
        <v>880180.04895786662</v>
      </c>
      <c r="F23" s="176">
        <f>SUM(F21:F22)</f>
        <v>6324559.8832254708</v>
      </c>
    </row>
    <row r="24" spans="1:6" s="4" customFormat="1" x14ac:dyDescent="0.2">
      <c r="F24" s="117"/>
    </row>
    <row r="25" spans="1:6" s="4" customFormat="1" x14ac:dyDescent="0.2"/>
    <row r="26" spans="1:6" x14ac:dyDescent="0.2">
      <c r="A26" s="4"/>
    </row>
    <row r="27" spans="1:6" x14ac:dyDescent="0.2">
      <c r="A27" s="4"/>
    </row>
    <row r="28" spans="1:6" x14ac:dyDescent="0.2">
      <c r="A28" s="4"/>
    </row>
    <row r="29" spans="1:6" x14ac:dyDescent="0.2">
      <c r="A29" s="4"/>
    </row>
    <row r="30" spans="1:6" x14ac:dyDescent="0.2">
      <c r="A30" s="4"/>
    </row>
    <row r="31" spans="1:6" x14ac:dyDescent="0.2">
      <c r="A31" s="4"/>
    </row>
    <row r="32" spans="1:6" x14ac:dyDescent="0.2">
      <c r="A32" s="4"/>
    </row>
    <row r="33" spans="1:1" x14ac:dyDescent="0.2">
      <c r="A33" s="4"/>
    </row>
    <row r="34" spans="1:1" x14ac:dyDescent="0.2">
      <c r="A34" s="4"/>
    </row>
    <row r="35" spans="1:1" x14ac:dyDescent="0.2">
      <c r="A35" s="4"/>
    </row>
    <row r="36" spans="1:1" x14ac:dyDescent="0.2">
      <c r="A36" s="4"/>
    </row>
    <row r="37" spans="1:1" x14ac:dyDescent="0.2">
      <c r="A37" s="4"/>
    </row>
    <row r="38" spans="1:1" x14ac:dyDescent="0.2">
      <c r="A38" s="4"/>
    </row>
    <row r="39" spans="1:1" x14ac:dyDescent="0.2">
      <c r="A39" s="4"/>
    </row>
    <row r="40" spans="1:1" x14ac:dyDescent="0.2">
      <c r="A40" s="4"/>
    </row>
  </sheetData>
  <phoneticPr fontId="0" type="noConversion"/>
  <pageMargins left="0.75" right="0.75" top="1" bottom="1" header="0.5" footer="0.5"/>
  <pageSetup scale="6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F41"/>
  <sheetViews>
    <sheetView topLeftCell="A13" workbookViewId="0">
      <selection activeCell="B9" sqref="B9"/>
    </sheetView>
  </sheetViews>
  <sheetFormatPr defaultRowHeight="15" x14ac:dyDescent="0.2"/>
  <cols>
    <col min="1" max="1" width="57.5703125" customWidth="1"/>
    <col min="2" max="2" width="22" style="4" customWidth="1"/>
    <col min="3" max="3" width="19.42578125" customWidth="1"/>
    <col min="4" max="4" width="20.5703125" style="4" customWidth="1"/>
    <col min="5" max="5" width="19.5703125" style="4" customWidth="1"/>
    <col min="6" max="6" width="17.5703125" customWidth="1"/>
  </cols>
  <sheetData>
    <row r="1" spans="1:6" ht="18" x14ac:dyDescent="0.25">
      <c r="A1" s="1" t="s">
        <v>5</v>
      </c>
      <c r="B1" s="34"/>
      <c r="D1"/>
      <c r="E1"/>
    </row>
    <row r="2" spans="1:6" ht="18" x14ac:dyDescent="0.25">
      <c r="A2" s="1"/>
      <c r="B2" s="34"/>
      <c r="D2"/>
      <c r="E2"/>
    </row>
    <row r="3" spans="1:6" s="61" customFormat="1" ht="15.75" x14ac:dyDescent="0.25">
      <c r="A3" s="79"/>
      <c r="B3" s="80"/>
    </row>
    <row r="4" spans="1:6" ht="18" x14ac:dyDescent="0.25">
      <c r="A4" s="1" t="s">
        <v>31</v>
      </c>
      <c r="B4" s="2"/>
      <c r="C4" s="1"/>
    </row>
    <row r="6" spans="1:6" s="5" customFormat="1" ht="48" thickBot="1" x14ac:dyDescent="0.3">
      <c r="A6" s="6" t="s">
        <v>0</v>
      </c>
      <c r="B6" s="68"/>
      <c r="C6" s="3" t="s">
        <v>1</v>
      </c>
      <c r="D6" s="3" t="s">
        <v>2</v>
      </c>
      <c r="E6" s="3" t="s">
        <v>3</v>
      </c>
      <c r="F6" s="3" t="s">
        <v>78</v>
      </c>
    </row>
    <row r="8" spans="1:6" x14ac:dyDescent="0.2">
      <c r="A8" s="34" t="s">
        <v>35</v>
      </c>
      <c r="B8" s="153">
        <f>+Apportionment!C6</f>
        <v>0</v>
      </c>
      <c r="F8" s="4"/>
    </row>
    <row r="9" spans="1:6" x14ac:dyDescent="0.2">
      <c r="A9" s="34" t="s">
        <v>113</v>
      </c>
      <c r="B9" s="153">
        <f>SUM('Foundation Calculations'!F8:F17)*-1</f>
        <v>0</v>
      </c>
      <c r="F9" s="4"/>
    </row>
    <row r="10" spans="1:6" ht="15.75" thickBot="1" x14ac:dyDescent="0.25">
      <c r="A10" s="34" t="s">
        <v>153</v>
      </c>
      <c r="B10" s="153">
        <v>0</v>
      </c>
      <c r="F10" s="4"/>
    </row>
    <row r="11" spans="1:6" ht="16.5" thickBot="1" x14ac:dyDescent="0.3">
      <c r="A11" s="67" t="s">
        <v>32</v>
      </c>
      <c r="B11" s="69">
        <f>SUM(B8:B10)</f>
        <v>0</v>
      </c>
      <c r="F11" s="4"/>
    </row>
    <row r="12" spans="1:6" x14ac:dyDescent="0.2">
      <c r="A12" s="34"/>
      <c r="B12" s="37"/>
      <c r="F12" s="4"/>
    </row>
    <row r="13" spans="1:6" x14ac:dyDescent="0.2">
      <c r="A13" s="34" t="s">
        <v>114</v>
      </c>
      <c r="B13" s="37">
        <f>+'Base FTES Allocations'!E22</f>
        <v>140641682.37860939</v>
      </c>
      <c r="F13" s="4"/>
    </row>
    <row r="14" spans="1:6" x14ac:dyDescent="0.2">
      <c r="B14" s="37"/>
      <c r="F14" s="4"/>
    </row>
    <row r="15" spans="1:6" x14ac:dyDescent="0.2">
      <c r="A15" s="34" t="s">
        <v>115</v>
      </c>
      <c r="B15" s="25">
        <f>+B11/B13</f>
        <v>0</v>
      </c>
      <c r="F15" s="4"/>
    </row>
    <row r="16" spans="1:6" x14ac:dyDescent="0.2">
      <c r="B16" s="37"/>
      <c r="F16" s="4"/>
    </row>
    <row r="17" spans="1:6" x14ac:dyDescent="0.2">
      <c r="B17" s="37"/>
      <c r="F17" s="4"/>
    </row>
    <row r="18" spans="1:6" s="4" customFormat="1" x14ac:dyDescent="0.2">
      <c r="A18" s="26" t="s">
        <v>107</v>
      </c>
      <c r="B18" s="37"/>
      <c r="C18" s="147">
        <f>+'Base FTES Allocations'!B17</f>
        <v>4156.2283575105293</v>
      </c>
      <c r="D18" s="147">
        <f>+C18</f>
        <v>4156.2283575105293</v>
      </c>
      <c r="E18" s="147">
        <f>+D18</f>
        <v>4156.2283575105293</v>
      </c>
      <c r="F18" s="147"/>
    </row>
    <row r="19" spans="1:6" s="26" customFormat="1" x14ac:dyDescent="0.2">
      <c r="A19" s="26" t="s">
        <v>108</v>
      </c>
      <c r="C19" s="26">
        <f>+'Base FTES Allocations'!B16</f>
        <v>6589.4046217396872</v>
      </c>
      <c r="D19" s="26">
        <f>+C19</f>
        <v>6589.4046217396872</v>
      </c>
      <c r="E19" s="26">
        <f>+D19</f>
        <v>6589.4046217396872</v>
      </c>
    </row>
    <row r="20" spans="1:6" s="9" customFormat="1" x14ac:dyDescent="0.2"/>
    <row r="21" spans="1:6" s="9" customFormat="1" x14ac:dyDescent="0.2">
      <c r="A21" s="9" t="s">
        <v>116</v>
      </c>
      <c r="C21" s="26">
        <f t="shared" ref="C21:E22" si="0">+C18*$B$15</f>
        <v>0</v>
      </c>
      <c r="D21" s="26">
        <f t="shared" si="0"/>
        <v>0</v>
      </c>
      <c r="E21" s="26">
        <f t="shared" si="0"/>
        <v>0</v>
      </c>
      <c r="F21" s="26"/>
    </row>
    <row r="22" spans="1:6" s="9" customFormat="1" x14ac:dyDescent="0.2">
      <c r="A22" s="9" t="s">
        <v>117</v>
      </c>
      <c r="C22" s="140">
        <f t="shared" si="0"/>
        <v>0</v>
      </c>
      <c r="D22" s="140">
        <f t="shared" si="0"/>
        <v>0</v>
      </c>
      <c r="E22" s="140">
        <f t="shared" si="0"/>
        <v>0</v>
      </c>
      <c r="F22" s="140"/>
    </row>
    <row r="23" spans="1:6" s="9" customFormat="1" x14ac:dyDescent="0.2"/>
    <row r="24" spans="1:6" s="9" customFormat="1" x14ac:dyDescent="0.2">
      <c r="A24" s="9" t="s">
        <v>111</v>
      </c>
      <c r="C24" s="140">
        <f>+'Base FTES Allocations'!B9*'FTES COLA Allocation'!C21</f>
        <v>0</v>
      </c>
      <c r="D24" s="140">
        <f>+'Base FTES Allocations'!C9*'FTES COLA Allocation'!D21</f>
        <v>0</v>
      </c>
      <c r="E24" s="140">
        <f>+'Base FTES Allocations'!D9*'FTES COLA Allocation'!E21</f>
        <v>0</v>
      </c>
      <c r="F24" s="140">
        <f>SUM(C24:E24)</f>
        <v>0</v>
      </c>
    </row>
    <row r="25" spans="1:6" s="139" customFormat="1" ht="15.75" thickBot="1" x14ac:dyDescent="0.25">
      <c r="A25" s="139" t="s">
        <v>112</v>
      </c>
      <c r="C25" s="140">
        <f>+'Base FTES Allocations'!B8*'FTES COLA Allocation'!C22</f>
        <v>0</v>
      </c>
      <c r="D25" s="140">
        <f>+'Base FTES Allocations'!C8*'FTES COLA Allocation'!D22</f>
        <v>0</v>
      </c>
      <c r="E25" s="140">
        <f>+'Base FTES Allocations'!D8*'FTES COLA Allocation'!E22</f>
        <v>0</v>
      </c>
      <c r="F25" s="140">
        <f>SUM(C25:E25)</f>
        <v>0</v>
      </c>
    </row>
    <row r="26" spans="1:6" s="4" customFormat="1" ht="15.75" thickBot="1" x14ac:dyDescent="0.25">
      <c r="F26" s="42">
        <f>SUM(F24:F25)</f>
        <v>0</v>
      </c>
    </row>
    <row r="27" spans="1:6" x14ac:dyDescent="0.2">
      <c r="A27" s="4"/>
    </row>
    <row r="28" spans="1:6" x14ac:dyDescent="0.2">
      <c r="A28" s="4"/>
    </row>
    <row r="29" spans="1:6" x14ac:dyDescent="0.2">
      <c r="A29" s="4"/>
    </row>
    <row r="30" spans="1:6" x14ac:dyDescent="0.2">
      <c r="A30" s="4"/>
    </row>
    <row r="31" spans="1:6" x14ac:dyDescent="0.2">
      <c r="A31" s="4"/>
    </row>
    <row r="32" spans="1:6" x14ac:dyDescent="0.2">
      <c r="A32" s="4"/>
    </row>
    <row r="33" spans="1:1" x14ac:dyDescent="0.2">
      <c r="A33" s="4"/>
    </row>
    <row r="34" spans="1:1" x14ac:dyDescent="0.2">
      <c r="A34" s="4"/>
    </row>
    <row r="35" spans="1:1" x14ac:dyDescent="0.2">
      <c r="A35" s="4"/>
    </row>
    <row r="36" spans="1:1" x14ac:dyDescent="0.2">
      <c r="A36" s="4"/>
    </row>
    <row r="37" spans="1:1" x14ac:dyDescent="0.2">
      <c r="A37" s="4"/>
    </row>
    <row r="38" spans="1:1" x14ac:dyDescent="0.2">
      <c r="A38" s="4"/>
    </row>
    <row r="39" spans="1:1" x14ac:dyDescent="0.2">
      <c r="A39" s="4"/>
    </row>
    <row r="40" spans="1:1" x14ac:dyDescent="0.2">
      <c r="A40" s="4"/>
    </row>
    <row r="41" spans="1:1" x14ac:dyDescent="0.2">
      <c r="A41" s="4"/>
    </row>
  </sheetData>
  <sheetProtection password="C576" sheet="1"/>
  <phoneticPr fontId="0" type="noConversion"/>
  <pageMargins left="0.75" right="0.75" top="1" bottom="1" header="0.5" footer="0.5"/>
  <pageSetup scale="7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G71"/>
  <sheetViews>
    <sheetView topLeftCell="A16" workbookViewId="0">
      <selection activeCell="A26" sqref="A26"/>
    </sheetView>
  </sheetViews>
  <sheetFormatPr defaultRowHeight="15" x14ac:dyDescent="0.2"/>
  <cols>
    <col min="1" max="1" width="43.5703125" customWidth="1"/>
    <col min="2" max="2" width="19.42578125" customWidth="1"/>
    <col min="3" max="3" width="26.5703125" style="4" customWidth="1"/>
    <col min="4" max="5" width="19.5703125" style="4" customWidth="1"/>
    <col min="6" max="6" width="19.42578125" customWidth="1"/>
    <col min="7" max="7" width="13.5703125" customWidth="1"/>
    <col min="8" max="8" width="14.42578125" bestFit="1" customWidth="1"/>
  </cols>
  <sheetData>
    <row r="1" spans="1:6" ht="18" x14ac:dyDescent="0.25">
      <c r="A1" s="1" t="s">
        <v>5</v>
      </c>
      <c r="B1" s="34"/>
      <c r="C1"/>
      <c r="D1"/>
      <c r="E1"/>
    </row>
    <row r="2" spans="1:6" ht="18" x14ac:dyDescent="0.25">
      <c r="A2" s="1"/>
      <c r="B2" s="34"/>
      <c r="C2"/>
      <c r="D2"/>
      <c r="E2"/>
    </row>
    <row r="3" spans="1:6" ht="18" x14ac:dyDescent="0.25">
      <c r="A3" s="1" t="s">
        <v>28</v>
      </c>
      <c r="B3" s="1"/>
    </row>
    <row r="5" spans="1:6" s="5" customFormat="1" ht="32.25" thickBot="1" x14ac:dyDescent="0.3">
      <c r="A5" s="6" t="s">
        <v>0</v>
      </c>
      <c r="B5" s="3" t="s">
        <v>1</v>
      </c>
      <c r="C5" s="3" t="s">
        <v>2</v>
      </c>
      <c r="D5" s="3" t="s">
        <v>3</v>
      </c>
      <c r="E5" s="3" t="s">
        <v>78</v>
      </c>
    </row>
    <row r="7" spans="1:6" ht="16.5" thickBot="1" x14ac:dyDescent="0.3">
      <c r="A7" s="31" t="s">
        <v>7</v>
      </c>
    </row>
    <row r="8" spans="1:6" s="8" customFormat="1" x14ac:dyDescent="0.2">
      <c r="A8" s="9" t="s">
        <v>9</v>
      </c>
      <c r="B8" s="26">
        <f>+'Budget Premisis'!B36</f>
        <v>15933.107879656995</v>
      </c>
      <c r="C8" s="26">
        <f>+'Budget Premisis'!B37</f>
        <v>2920.0536607159834</v>
      </c>
      <c r="D8" s="26">
        <f>+'Budget Premisis'!B38</f>
        <v>3046.3650574755302</v>
      </c>
      <c r="E8" s="26">
        <f>SUM(B8:D8)</f>
        <v>21899.526597848508</v>
      </c>
      <c r="F8" s="8" t="s">
        <v>134</v>
      </c>
    </row>
    <row r="9" spans="1:6" s="8" customFormat="1" ht="15.75" thickBot="1" x14ac:dyDescent="0.25">
      <c r="A9" s="9" t="s">
        <v>10</v>
      </c>
      <c r="B9" s="30">
        <f>+'Budget Premisis'!C36</f>
        <v>84.71</v>
      </c>
      <c r="C9" s="30">
        <f>+'Budget Premisis'!C37</f>
        <v>0.38</v>
      </c>
      <c r="D9" s="30">
        <f>+'Budget Premisis'!C38</f>
        <v>28.3</v>
      </c>
      <c r="E9" s="26">
        <f>SUM(B9:D9)</f>
        <v>113.38999999999999</v>
      </c>
      <c r="F9" s="8" t="s">
        <v>134</v>
      </c>
    </row>
    <row r="10" spans="1:6" s="8" customFormat="1" ht="15.75" thickBot="1" x14ac:dyDescent="0.25">
      <c r="A10" s="28" t="s">
        <v>4</v>
      </c>
      <c r="B10" s="29">
        <f>SUM(B8:B9)</f>
        <v>16017.817879656994</v>
      </c>
      <c r="C10" s="29">
        <f>SUM(C8:C9)</f>
        <v>2920.4336607159835</v>
      </c>
      <c r="D10" s="29">
        <f>SUM(D8:D9)</f>
        <v>3074.6650574755304</v>
      </c>
      <c r="E10" s="29">
        <f>SUM(E8:E9)</f>
        <v>22012.916597848507</v>
      </c>
    </row>
    <row r="11" spans="1:6" s="8" customFormat="1" ht="15.75" x14ac:dyDescent="0.25">
      <c r="A11" s="7"/>
      <c r="B11" s="319"/>
      <c r="C11" s="9"/>
      <c r="D11" s="23"/>
      <c r="E11" s="26"/>
    </row>
    <row r="12" spans="1:6" s="8" customFormat="1" ht="15.75" x14ac:dyDescent="0.25">
      <c r="A12" s="7" t="s">
        <v>30</v>
      </c>
      <c r="B12" s="9"/>
      <c r="C12" s="9"/>
      <c r="D12" s="23"/>
      <c r="E12" s="32"/>
    </row>
    <row r="13" spans="1:6" s="8" customFormat="1" x14ac:dyDescent="0.2">
      <c r="A13" s="9"/>
      <c r="C13" s="9"/>
      <c r="D13" s="9"/>
      <c r="E13" s="9"/>
    </row>
    <row r="14" spans="1:6" s="8" customFormat="1" ht="16.5" thickBot="1" x14ac:dyDescent="0.3">
      <c r="A14" s="10" t="s">
        <v>29</v>
      </c>
      <c r="C14" s="9"/>
      <c r="D14" s="9"/>
      <c r="E14" s="9"/>
    </row>
    <row r="15" spans="1:6" s="32" customFormat="1" x14ac:dyDescent="0.2">
      <c r="A15" s="32" t="s">
        <v>102</v>
      </c>
      <c r="B15" s="32">
        <f>+'Budget Premisis'!B26</f>
        <v>0</v>
      </c>
      <c r="C15" s="32">
        <f>+B15</f>
        <v>0</v>
      </c>
      <c r="D15" s="32">
        <f>+C15</f>
        <v>0</v>
      </c>
      <c r="F15" s="32" t="s">
        <v>37</v>
      </c>
    </row>
    <row r="16" spans="1:6" s="32" customFormat="1" x14ac:dyDescent="0.2">
      <c r="A16" s="32" t="s">
        <v>103</v>
      </c>
      <c r="B16" s="32">
        <f>+'Budget Premisis'!B25</f>
        <v>0</v>
      </c>
      <c r="C16" s="32">
        <f>+B16</f>
        <v>0</v>
      </c>
      <c r="D16" s="32">
        <f>+C16</f>
        <v>0</v>
      </c>
    </row>
    <row r="17" spans="1:7" s="8" customFormat="1" x14ac:dyDescent="0.2">
      <c r="A17" s="9"/>
      <c r="C17" s="9"/>
      <c r="D17" s="9"/>
      <c r="E17" s="9"/>
    </row>
    <row r="18" spans="1:7" s="8" customFormat="1" ht="16.5" thickBot="1" x14ac:dyDescent="0.3">
      <c r="A18" s="10" t="s">
        <v>11</v>
      </c>
      <c r="B18" s="39"/>
      <c r="C18" s="40"/>
      <c r="D18" s="9"/>
      <c r="E18" s="9"/>
    </row>
    <row r="19" spans="1:7" s="8" customFormat="1" x14ac:dyDescent="0.2">
      <c r="A19" s="28"/>
      <c r="C19" s="9"/>
      <c r="D19" s="9"/>
      <c r="E19" s="9"/>
    </row>
    <row r="20" spans="1:7" s="26" customFormat="1" x14ac:dyDescent="0.2">
      <c r="A20" s="9" t="s">
        <v>327</v>
      </c>
      <c r="B20" s="26">
        <f>+'Budget Premisis'!C29</f>
        <v>92.28</v>
      </c>
      <c r="C20" s="26">
        <f>+'Budget Premisis'!C30</f>
        <v>0.95</v>
      </c>
      <c r="D20" s="26">
        <f>+'Budget Premisis'!C31</f>
        <v>24.55</v>
      </c>
      <c r="E20" s="37">
        <f>SUM(B20:D20)</f>
        <v>117.78</v>
      </c>
    </row>
    <row r="21" spans="1:7" s="26" customFormat="1" ht="15.75" thickBot="1" x14ac:dyDescent="0.25">
      <c r="A21" s="9" t="s">
        <v>328</v>
      </c>
      <c r="B21" s="26">
        <f>+B9</f>
        <v>84.71</v>
      </c>
      <c r="C21" s="26">
        <f>+C9</f>
        <v>0.38</v>
      </c>
      <c r="D21" s="26">
        <f>+D9</f>
        <v>28.3</v>
      </c>
      <c r="E21" s="37">
        <f>SUM(B21:D21)</f>
        <v>113.38999999999999</v>
      </c>
    </row>
    <row r="22" spans="1:7" s="26" customFormat="1" ht="15.75" thickBot="1" x14ac:dyDescent="0.25">
      <c r="A22" s="41" t="s">
        <v>12</v>
      </c>
      <c r="B22" s="42">
        <f>+B21-B20</f>
        <v>-7.5700000000000074</v>
      </c>
      <c r="C22" s="42">
        <f>+C21-C20</f>
        <v>-0.56999999999999995</v>
      </c>
      <c r="D22" s="42">
        <f>+D21-D20</f>
        <v>3.75</v>
      </c>
      <c r="E22" s="42">
        <f>+E21-E20</f>
        <v>-4.3900000000000148</v>
      </c>
    </row>
    <row r="23" spans="1:7" s="8" customFormat="1" x14ac:dyDescent="0.2">
      <c r="A23" s="9"/>
      <c r="C23" s="9"/>
      <c r="D23" s="9"/>
      <c r="E23" s="9"/>
    </row>
    <row r="24" spans="1:7" s="9" customFormat="1" x14ac:dyDescent="0.2">
      <c r="A24" s="26" t="s">
        <v>329</v>
      </c>
      <c r="B24" s="37">
        <f>+'Budget Premisis'!B29</f>
        <v>15526.05</v>
      </c>
      <c r="C24" s="37">
        <f>+'Budget Premisis'!B30</f>
        <v>2847.2</v>
      </c>
      <c r="D24" s="37">
        <f>+'Budget Premisis'!B31</f>
        <v>2970.36</v>
      </c>
      <c r="E24" s="37">
        <f>SUM(B24:D24)</f>
        <v>21343.61</v>
      </c>
      <c r="F24" s="26"/>
    </row>
    <row r="25" spans="1:7" s="9" customFormat="1" ht="15.75" thickBot="1" x14ac:dyDescent="0.25">
      <c r="A25" s="26" t="s">
        <v>330</v>
      </c>
      <c r="B25" s="37">
        <f>+B8</f>
        <v>15933.107879656995</v>
      </c>
      <c r="C25" s="37">
        <f>+C8</f>
        <v>2920.0536607159834</v>
      </c>
      <c r="D25" s="37">
        <f>+D8</f>
        <v>3046.3650574755302</v>
      </c>
      <c r="E25" s="37">
        <f>SUM(B25:D25)</f>
        <v>21899.526597848508</v>
      </c>
      <c r="F25" s="26"/>
      <c r="G25" s="26"/>
    </row>
    <row r="26" spans="1:7" s="26" customFormat="1" ht="15.75" thickBot="1" x14ac:dyDescent="0.25">
      <c r="A26" s="325" t="s">
        <v>12</v>
      </c>
      <c r="B26" s="42">
        <f>+B25-B24</f>
        <v>407.05787965699528</v>
      </c>
      <c r="C26" s="42">
        <f>+C25-C24</f>
        <v>72.853660715983551</v>
      </c>
      <c r="D26" s="42">
        <f>+D25-D24</f>
        <v>76.005057475530066</v>
      </c>
      <c r="E26" s="42">
        <f>+E25-E24</f>
        <v>555.91659784850708</v>
      </c>
    </row>
    <row r="27" spans="1:7" s="8" customFormat="1" x14ac:dyDescent="0.2">
      <c r="A27" s="9"/>
      <c r="C27" s="9"/>
      <c r="D27" s="9"/>
      <c r="E27" s="9"/>
    </row>
    <row r="28" spans="1:7" s="8" customFormat="1" ht="16.5" thickBot="1" x14ac:dyDescent="0.3">
      <c r="A28" s="10" t="s">
        <v>13</v>
      </c>
      <c r="B28" s="39"/>
      <c r="C28" s="40"/>
      <c r="D28" s="40"/>
      <c r="E28" s="76"/>
    </row>
    <row r="29" spans="1:7" s="32" customFormat="1" ht="15.75" thickBot="1" x14ac:dyDescent="0.25">
      <c r="A29" s="32" t="s">
        <v>71</v>
      </c>
      <c r="B29" s="38">
        <f>IF(B26+B22&lt;=0.001,0,(B26*B16)+(B22*B15))+'FTES Decline Mechanism'!B40</f>
        <v>0</v>
      </c>
      <c r="C29" s="38">
        <f>IF(C26+C22&lt;=0.001,0,(C26*C16)+(C22*C15))+'FTES Decline Mechanism'!C40</f>
        <v>0</v>
      </c>
      <c r="D29" s="38">
        <f>IF(D26+D22&lt;=0.001,0,(D26*D16)+(D22*D15))+'FTES Decline Mechanism'!D40</f>
        <v>0</v>
      </c>
      <c r="E29" s="69">
        <f>SUM(B29:D29)</f>
        <v>0</v>
      </c>
    </row>
    <row r="30" spans="1:7" s="8" customFormat="1" x14ac:dyDescent="0.2">
      <c r="A30" s="9"/>
      <c r="C30" s="9"/>
      <c r="D30" s="9"/>
      <c r="E30" s="9"/>
    </row>
    <row r="31" spans="1:7" s="8" customFormat="1" x14ac:dyDescent="0.2">
      <c r="A31" s="9"/>
      <c r="C31" s="9"/>
      <c r="D31" s="348"/>
      <c r="E31" s="9"/>
    </row>
    <row r="32" spans="1:7" s="8" customFormat="1" x14ac:dyDescent="0.2">
      <c r="A32" s="9"/>
      <c r="B32" s="121"/>
      <c r="C32" s="9"/>
      <c r="D32" s="9"/>
      <c r="E32" s="349"/>
    </row>
    <row r="33" spans="1:5" s="8" customFormat="1" x14ac:dyDescent="0.2">
      <c r="A33" s="9"/>
      <c r="C33" s="9"/>
      <c r="D33" s="9"/>
      <c r="E33" s="113"/>
    </row>
    <row r="34" spans="1:5" s="8" customFormat="1" x14ac:dyDescent="0.2">
      <c r="A34" s="9"/>
    </row>
    <row r="35" spans="1:5" s="8" customFormat="1" x14ac:dyDescent="0.2">
      <c r="A35" s="26"/>
      <c r="C35" s="9"/>
      <c r="D35" s="318"/>
      <c r="E35" s="9"/>
    </row>
    <row r="36" spans="1:5" s="8" customFormat="1" x14ac:dyDescent="0.2">
      <c r="A36" s="26"/>
      <c r="B36" s="141"/>
      <c r="C36" s="9"/>
      <c r="D36" s="9"/>
      <c r="E36" s="9"/>
    </row>
    <row r="37" spans="1:5" s="8" customFormat="1" x14ac:dyDescent="0.2">
      <c r="A37" s="26"/>
      <c r="C37" s="9"/>
      <c r="D37" s="9"/>
    </row>
    <row r="38" spans="1:5" s="8" customFormat="1" x14ac:dyDescent="0.2">
      <c r="A38" s="26"/>
      <c r="C38" s="9"/>
      <c r="D38" s="9"/>
      <c r="E38" s="9"/>
    </row>
    <row r="39" spans="1:5" s="8" customFormat="1" x14ac:dyDescent="0.2">
      <c r="A39" s="26"/>
      <c r="B39" s="149"/>
      <c r="C39" s="257"/>
      <c r="D39" s="257"/>
      <c r="E39" s="9"/>
    </row>
    <row r="40" spans="1:5" s="8" customFormat="1" x14ac:dyDescent="0.2">
      <c r="A40" s="9"/>
      <c r="C40" s="9"/>
      <c r="D40" s="9"/>
      <c r="E40" s="9"/>
    </row>
    <row r="41" spans="1:5" s="8" customFormat="1" x14ac:dyDescent="0.2">
      <c r="A41" s="9"/>
      <c r="C41" s="9"/>
      <c r="D41" s="9"/>
      <c r="E41" s="9"/>
    </row>
    <row r="42" spans="1:5" s="8" customFormat="1" x14ac:dyDescent="0.2">
      <c r="A42" s="9"/>
      <c r="C42" s="9"/>
      <c r="D42" s="9"/>
      <c r="E42" s="9"/>
    </row>
    <row r="43" spans="1:5" s="8" customFormat="1" x14ac:dyDescent="0.2">
      <c r="A43" s="9"/>
      <c r="C43" s="9"/>
      <c r="D43" s="9"/>
      <c r="E43" s="9"/>
    </row>
    <row r="44" spans="1:5" s="8" customFormat="1" x14ac:dyDescent="0.2">
      <c r="C44" s="9"/>
      <c r="D44" s="9"/>
      <c r="E44" s="9"/>
    </row>
    <row r="45" spans="1:5" s="8" customFormat="1" x14ac:dyDescent="0.2">
      <c r="C45" s="9"/>
      <c r="D45" s="9"/>
      <c r="E45" s="9"/>
    </row>
    <row r="46" spans="1:5" x14ac:dyDescent="0.2">
      <c r="A46" s="4"/>
    </row>
    <row r="47" spans="1:5" x14ac:dyDescent="0.2">
      <c r="A47" s="4"/>
    </row>
    <row r="48" spans="1:5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  <row r="61" spans="1:1" x14ac:dyDescent="0.2">
      <c r="A61" s="4"/>
    </row>
    <row r="62" spans="1:1" x14ac:dyDescent="0.2">
      <c r="A62" s="4"/>
    </row>
    <row r="63" spans="1:1" x14ac:dyDescent="0.2">
      <c r="A63" s="4"/>
    </row>
    <row r="64" spans="1:1" x14ac:dyDescent="0.2">
      <c r="A64" s="4"/>
    </row>
    <row r="65" spans="1:1" x14ac:dyDescent="0.2">
      <c r="A65" s="4"/>
    </row>
    <row r="66" spans="1:1" x14ac:dyDescent="0.2">
      <c r="A66" s="4"/>
    </row>
    <row r="67" spans="1:1" x14ac:dyDescent="0.2">
      <c r="A67" s="4"/>
    </row>
    <row r="68" spans="1:1" x14ac:dyDescent="0.2">
      <c r="A68" s="4"/>
    </row>
    <row r="69" spans="1:1" x14ac:dyDescent="0.2">
      <c r="A69" s="4"/>
    </row>
    <row r="70" spans="1:1" x14ac:dyDescent="0.2">
      <c r="A70" s="4"/>
    </row>
    <row r="71" spans="1:1" x14ac:dyDescent="0.2">
      <c r="A71" s="4"/>
    </row>
  </sheetData>
  <phoneticPr fontId="0" type="noConversion"/>
  <pageMargins left="0.75" right="0.75" top="1" bottom="1" header="0.5" footer="0.5"/>
  <pageSetup scale="7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F40"/>
  <sheetViews>
    <sheetView topLeftCell="A13" workbookViewId="0">
      <selection activeCell="B8" sqref="B8"/>
    </sheetView>
  </sheetViews>
  <sheetFormatPr defaultRowHeight="15" x14ac:dyDescent="0.2"/>
  <cols>
    <col min="1" max="1" width="84.42578125" customWidth="1"/>
    <col min="2" max="2" width="22" style="4" customWidth="1"/>
    <col min="3" max="3" width="19.42578125" customWidth="1"/>
    <col min="4" max="4" width="20.5703125" style="4" customWidth="1"/>
    <col min="5" max="5" width="19.5703125" style="4" customWidth="1"/>
    <col min="6" max="6" width="17.5703125" customWidth="1"/>
  </cols>
  <sheetData>
    <row r="1" spans="1:6" ht="18" x14ac:dyDescent="0.25">
      <c r="A1" s="1" t="s">
        <v>5</v>
      </c>
      <c r="B1" s="34"/>
      <c r="D1"/>
      <c r="E1"/>
    </row>
    <row r="2" spans="1:6" s="61" customFormat="1" ht="15.75" x14ac:dyDescent="0.25">
      <c r="A2" s="79"/>
      <c r="B2" s="80"/>
    </row>
    <row r="3" spans="1:6" ht="18" x14ac:dyDescent="0.25">
      <c r="A3" s="1" t="s">
        <v>79</v>
      </c>
      <c r="B3" s="2"/>
      <c r="C3" s="1"/>
    </row>
    <row r="5" spans="1:6" s="5" customFormat="1" ht="48" thickBot="1" x14ac:dyDescent="0.3">
      <c r="A5" s="6" t="s">
        <v>0</v>
      </c>
      <c r="B5" s="68"/>
      <c r="C5" s="3" t="s">
        <v>1</v>
      </c>
      <c r="D5" s="3" t="s">
        <v>2</v>
      </c>
      <c r="E5" s="3" t="s">
        <v>3</v>
      </c>
      <c r="F5" s="3" t="s">
        <v>78</v>
      </c>
    </row>
    <row r="7" spans="1:6" s="4" customFormat="1" ht="16.5" thickBot="1" x14ac:dyDescent="0.3">
      <c r="A7" s="31" t="s">
        <v>104</v>
      </c>
      <c r="B7" s="37"/>
    </row>
    <row r="8" spans="1:6" s="4" customFormat="1" ht="16.5" thickBot="1" x14ac:dyDescent="0.3">
      <c r="A8" s="227" t="s">
        <v>164</v>
      </c>
      <c r="B8" s="37">
        <f>+Apportionment!C11</f>
        <v>0</v>
      </c>
    </row>
    <row r="9" spans="1:6" s="4" customFormat="1" ht="16.5" thickBot="1" x14ac:dyDescent="0.3">
      <c r="A9" s="226" t="s">
        <v>4</v>
      </c>
      <c r="B9" s="69">
        <f>SUM(B8:B8)</f>
        <v>0</v>
      </c>
    </row>
    <row r="10" spans="1:6" s="4" customFormat="1" x14ac:dyDescent="0.2">
      <c r="B10" s="37"/>
    </row>
    <row r="11" spans="1:6" s="4" customFormat="1" x14ac:dyDescent="0.2">
      <c r="A11" s="4" t="s">
        <v>105</v>
      </c>
      <c r="B11" s="37">
        <f>+'Base FTES Allocations'!E22</f>
        <v>140641682.37860939</v>
      </c>
      <c r="C11" s="147"/>
      <c r="D11" s="147"/>
      <c r="E11" s="147"/>
      <c r="F11" s="147"/>
    </row>
    <row r="12" spans="1:6" s="4" customFormat="1" ht="15.75" x14ac:dyDescent="0.25">
      <c r="B12" s="148"/>
    </row>
    <row r="13" spans="1:6" s="4" customFormat="1" x14ac:dyDescent="0.2">
      <c r="A13" s="4" t="s">
        <v>106</v>
      </c>
      <c r="B13" s="25">
        <f>+B9/B11</f>
        <v>0</v>
      </c>
    </row>
    <row r="14" spans="1:6" s="4" customFormat="1" ht="15.75" x14ac:dyDescent="0.25">
      <c r="B14" s="148"/>
    </row>
    <row r="15" spans="1:6" s="4" customFormat="1" x14ac:dyDescent="0.2">
      <c r="A15" s="26" t="s">
        <v>107</v>
      </c>
      <c r="B15" s="37"/>
      <c r="C15" s="147">
        <f>+'Base FTES Allocations'!B17</f>
        <v>4156.2283575105293</v>
      </c>
      <c r="D15" s="147">
        <f>+C15</f>
        <v>4156.2283575105293</v>
      </c>
      <c r="E15" s="147">
        <f>+D15</f>
        <v>4156.2283575105293</v>
      </c>
      <c r="F15" s="147"/>
    </row>
    <row r="16" spans="1:6" s="26" customFormat="1" x14ac:dyDescent="0.2">
      <c r="A16" s="26" t="s">
        <v>108</v>
      </c>
      <c r="C16" s="147">
        <f>+'Base FTES Allocations'!B16</f>
        <v>6589.4046217396872</v>
      </c>
      <c r="D16" s="26">
        <f>+C16</f>
        <v>6589.4046217396872</v>
      </c>
      <c r="E16" s="26">
        <f>+D16</f>
        <v>6589.4046217396872</v>
      </c>
    </row>
    <row r="17" spans="1:6" s="9" customFormat="1" x14ac:dyDescent="0.2"/>
    <row r="18" spans="1:6" s="9" customFormat="1" x14ac:dyDescent="0.2">
      <c r="A18" s="9" t="s">
        <v>109</v>
      </c>
      <c r="C18" s="26">
        <f>+C15*$B$13</f>
        <v>0</v>
      </c>
      <c r="D18" s="26">
        <f>+C18</f>
        <v>0</v>
      </c>
      <c r="E18" s="26">
        <f>+D18</f>
        <v>0</v>
      </c>
      <c r="F18" s="26"/>
    </row>
    <row r="19" spans="1:6" s="9" customFormat="1" x14ac:dyDescent="0.2">
      <c r="A19" s="9" t="s">
        <v>110</v>
      </c>
      <c r="C19" s="26">
        <f>+C16*$B$13</f>
        <v>0</v>
      </c>
      <c r="D19" s="26">
        <f>+C19</f>
        <v>0</v>
      </c>
      <c r="E19" s="140">
        <f>+D19</f>
        <v>0</v>
      </c>
      <c r="F19" s="26"/>
    </row>
    <row r="20" spans="1:6" s="9" customFormat="1" x14ac:dyDescent="0.2"/>
    <row r="21" spans="1:6" s="9" customFormat="1" x14ac:dyDescent="0.2">
      <c r="A21" s="9" t="s">
        <v>137</v>
      </c>
      <c r="C21" s="140">
        <f>+C18*'Base FTES Allocations'!B9</f>
        <v>0</v>
      </c>
      <c r="D21" s="140">
        <f>+D18*'Base FTES Allocations'!C9</f>
        <v>0</v>
      </c>
      <c r="E21" s="140">
        <f>+E18*'Base FTES Allocations'!D9</f>
        <v>0</v>
      </c>
      <c r="F21" s="140">
        <f>SUM(C21:E21)</f>
        <v>0</v>
      </c>
    </row>
    <row r="22" spans="1:6" s="139" customFormat="1" ht="15.75" thickBot="1" x14ac:dyDescent="0.25">
      <c r="A22" s="139" t="s">
        <v>138</v>
      </c>
      <c r="C22" s="139">
        <f>+C19*'Base FTES Allocations'!B8</f>
        <v>0</v>
      </c>
      <c r="D22" s="139">
        <f>+D19*'Base FTES Allocations'!C8</f>
        <v>0</v>
      </c>
      <c r="E22" s="139">
        <f>+E19*'Base FTES Allocations'!D8</f>
        <v>0</v>
      </c>
      <c r="F22" s="140">
        <f>SUM(C22:E22)</f>
        <v>0</v>
      </c>
    </row>
    <row r="23" spans="1:6" s="4" customFormat="1" ht="15.75" thickBot="1" x14ac:dyDescent="0.25">
      <c r="C23" s="176">
        <f>SUM(C21:C22)</f>
        <v>0</v>
      </c>
      <c r="D23" s="176">
        <f>SUM(D21:D22)</f>
        <v>0</v>
      </c>
      <c r="E23" s="176">
        <f>SUM(E21:E22)</f>
        <v>0</v>
      </c>
      <c r="F23" s="176">
        <f>SUM(F21:F22)</f>
        <v>0</v>
      </c>
    </row>
    <row r="24" spans="1:6" s="4" customFormat="1" x14ac:dyDescent="0.2">
      <c r="F24" s="117"/>
    </row>
    <row r="25" spans="1:6" s="4" customFormat="1" x14ac:dyDescent="0.2"/>
    <row r="26" spans="1:6" x14ac:dyDescent="0.2">
      <c r="A26" s="4"/>
    </row>
    <row r="27" spans="1:6" x14ac:dyDescent="0.2">
      <c r="A27" s="4"/>
    </row>
    <row r="28" spans="1:6" x14ac:dyDescent="0.2">
      <c r="A28" s="4"/>
    </row>
    <row r="29" spans="1:6" x14ac:dyDescent="0.2">
      <c r="A29" s="4"/>
    </row>
    <row r="30" spans="1:6" x14ac:dyDescent="0.2">
      <c r="A30" s="4"/>
    </row>
    <row r="31" spans="1:6" x14ac:dyDescent="0.2">
      <c r="A31" s="4"/>
    </row>
    <row r="32" spans="1:6" x14ac:dyDescent="0.2">
      <c r="A32" s="4"/>
    </row>
    <row r="33" spans="1:1" x14ac:dyDescent="0.2">
      <c r="A33" s="4"/>
    </row>
    <row r="34" spans="1:1" x14ac:dyDescent="0.2">
      <c r="A34" s="4"/>
    </row>
    <row r="35" spans="1:1" x14ac:dyDescent="0.2">
      <c r="A35" s="4"/>
    </row>
    <row r="36" spans="1:1" x14ac:dyDescent="0.2">
      <c r="A36" s="4"/>
    </row>
    <row r="37" spans="1:1" x14ac:dyDescent="0.2">
      <c r="A37" s="4"/>
    </row>
    <row r="38" spans="1:1" x14ac:dyDescent="0.2">
      <c r="A38" s="4"/>
    </row>
    <row r="39" spans="1:1" x14ac:dyDescent="0.2">
      <c r="A39" s="4"/>
    </row>
    <row r="40" spans="1:1" x14ac:dyDescent="0.2">
      <c r="A40" s="4"/>
    </row>
  </sheetData>
  <phoneticPr fontId="0" type="noConversion"/>
  <pageMargins left="0.75" right="0.75" top="1" bottom="1" header="0.5" footer="0.5"/>
  <pageSetup scale="6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F69"/>
  <sheetViews>
    <sheetView topLeftCell="A10" workbookViewId="0">
      <selection activeCell="A24" sqref="A24"/>
    </sheetView>
  </sheetViews>
  <sheetFormatPr defaultRowHeight="15" x14ac:dyDescent="0.2"/>
  <cols>
    <col min="1" max="1" width="55.42578125" customWidth="1"/>
    <col min="2" max="2" width="19.42578125" customWidth="1"/>
    <col min="3" max="3" width="26.5703125" style="4" customWidth="1"/>
    <col min="4" max="5" width="19.5703125" style="4" customWidth="1"/>
    <col min="6" max="6" width="15.5703125" customWidth="1"/>
  </cols>
  <sheetData>
    <row r="1" spans="1:6" ht="18" x14ac:dyDescent="0.25">
      <c r="A1" s="1" t="s">
        <v>5</v>
      </c>
      <c r="B1" s="34"/>
      <c r="C1"/>
      <c r="D1"/>
      <c r="E1"/>
    </row>
    <row r="2" spans="1:6" s="61" customFormat="1" ht="15.75" x14ac:dyDescent="0.25">
      <c r="A2" s="79"/>
      <c r="B2" s="80"/>
    </row>
    <row r="3" spans="1:6" ht="18" x14ac:dyDescent="0.25">
      <c r="A3" s="1" t="s">
        <v>28</v>
      </c>
      <c r="B3" s="1"/>
    </row>
    <row r="5" spans="1:6" s="5" customFormat="1" ht="32.25" thickBot="1" x14ac:dyDescent="0.3">
      <c r="A5" s="6" t="s">
        <v>0</v>
      </c>
      <c r="B5" s="3" t="s">
        <v>1</v>
      </c>
      <c r="C5" s="3" t="s">
        <v>2</v>
      </c>
      <c r="D5" s="3" t="s">
        <v>3</v>
      </c>
      <c r="E5" s="3" t="s">
        <v>78</v>
      </c>
    </row>
    <row r="7" spans="1:6" ht="16.5" thickBot="1" x14ac:dyDescent="0.3">
      <c r="A7" s="31" t="s">
        <v>7</v>
      </c>
    </row>
    <row r="8" spans="1:6" s="8" customFormat="1" x14ac:dyDescent="0.2">
      <c r="A8" s="9" t="s">
        <v>9</v>
      </c>
      <c r="B8" s="26">
        <f>+'FTES Growth Allocations'!B8</f>
        <v>15933.107879656995</v>
      </c>
      <c r="C8" s="26">
        <f>+'FTES Growth Allocations'!C8</f>
        <v>2920.0536607159834</v>
      </c>
      <c r="D8" s="26">
        <f>+'FTES Growth Allocations'!D8</f>
        <v>3046.3650574755302</v>
      </c>
      <c r="E8" s="26">
        <f>SUM(B8:D8)</f>
        <v>21899.526597848508</v>
      </c>
    </row>
    <row r="9" spans="1:6" s="8" customFormat="1" ht="15.75" thickBot="1" x14ac:dyDescent="0.25">
      <c r="A9" s="9" t="s">
        <v>10</v>
      </c>
      <c r="B9" s="26">
        <f>+'FTES Growth Allocations'!B9</f>
        <v>84.71</v>
      </c>
      <c r="C9" s="26">
        <f>+'FTES Growth Allocations'!C9</f>
        <v>0.38</v>
      </c>
      <c r="D9" s="26">
        <f>+'FTES Growth Allocations'!D9</f>
        <v>28.3</v>
      </c>
      <c r="E9" s="26">
        <f>SUM(B9:D9)</f>
        <v>113.38999999999999</v>
      </c>
    </row>
    <row r="10" spans="1:6" s="8" customFormat="1" ht="15.75" thickBot="1" x14ac:dyDescent="0.25">
      <c r="A10" s="28" t="s">
        <v>4</v>
      </c>
      <c r="B10" s="29">
        <f>SUM(B8:B9)</f>
        <v>16017.817879656994</v>
      </c>
      <c r="C10" s="29">
        <f>SUM(C8:C9)</f>
        <v>2920.4336607159835</v>
      </c>
      <c r="D10" s="29">
        <f>SUM(D8:D9)</f>
        <v>3074.6650574755304</v>
      </c>
      <c r="E10" s="29">
        <f>SUM(E8:E9)</f>
        <v>22012.916597848507</v>
      </c>
    </row>
    <row r="11" spans="1:6" s="8" customFormat="1" ht="15.75" x14ac:dyDescent="0.25">
      <c r="A11" s="7"/>
      <c r="B11" s="14"/>
      <c r="C11" s="9"/>
      <c r="D11" s="23"/>
      <c r="E11" s="26"/>
    </row>
    <row r="12" spans="1:6" s="8" customFormat="1" ht="15.75" x14ac:dyDescent="0.25">
      <c r="A12" s="7" t="s">
        <v>30</v>
      </c>
      <c r="B12" s="9"/>
      <c r="C12" s="9"/>
      <c r="D12" s="23"/>
      <c r="E12" s="32"/>
    </row>
    <row r="13" spans="1:6" s="8" customFormat="1" x14ac:dyDescent="0.2">
      <c r="A13" s="9"/>
      <c r="C13" s="9"/>
      <c r="D13" s="9"/>
      <c r="E13" s="9"/>
    </row>
    <row r="14" spans="1:6" s="8" customFormat="1" ht="16.5" thickBot="1" x14ac:dyDescent="0.3">
      <c r="A14" s="10" t="s">
        <v>29</v>
      </c>
      <c r="C14" s="9"/>
      <c r="D14" s="9"/>
      <c r="E14" s="9"/>
    </row>
    <row r="15" spans="1:6" s="32" customFormat="1" x14ac:dyDescent="0.2">
      <c r="A15" s="32" t="s">
        <v>102</v>
      </c>
      <c r="B15" s="32">
        <f>+'Base Adj'!C16</f>
        <v>6589.4046217396872</v>
      </c>
      <c r="C15" s="32">
        <f>+B15</f>
        <v>6589.4046217396872</v>
      </c>
      <c r="D15" s="32">
        <f>+C15</f>
        <v>6589.4046217396872</v>
      </c>
      <c r="F15" s="32" t="s">
        <v>37</v>
      </c>
    </row>
    <row r="16" spans="1:6" s="32" customFormat="1" x14ac:dyDescent="0.2">
      <c r="A16" s="32" t="s">
        <v>103</v>
      </c>
      <c r="B16" s="32">
        <f>+'Base Adj'!C15</f>
        <v>4156.2283575105293</v>
      </c>
      <c r="C16" s="32">
        <f>+B16</f>
        <v>4156.2283575105293</v>
      </c>
      <c r="D16" s="32">
        <f>+C16</f>
        <v>4156.2283575105293</v>
      </c>
    </row>
    <row r="17" spans="1:6" s="32" customFormat="1" x14ac:dyDescent="0.2"/>
    <row r="18" spans="1:6" s="8" customFormat="1" x14ac:dyDescent="0.2">
      <c r="A18" s="9"/>
      <c r="C18" s="9"/>
      <c r="D18" s="9"/>
      <c r="E18" s="9"/>
    </row>
    <row r="19" spans="1:6" s="8" customFormat="1" ht="16.5" thickBot="1" x14ac:dyDescent="0.3">
      <c r="A19" s="10" t="s">
        <v>72</v>
      </c>
      <c r="B19" s="39"/>
      <c r="C19" s="40"/>
      <c r="D19" s="9"/>
      <c r="E19" s="9"/>
    </row>
    <row r="20" spans="1:6" s="8" customFormat="1" x14ac:dyDescent="0.2">
      <c r="A20" s="28"/>
      <c r="C20" s="9"/>
      <c r="D20" s="9"/>
      <c r="E20" s="9"/>
    </row>
    <row r="21" spans="1:6" s="26" customFormat="1" x14ac:dyDescent="0.2">
      <c r="A21" s="26" t="s">
        <v>190</v>
      </c>
      <c r="B21" s="26">
        <f>+'Base FTES Allocations'!B8</f>
        <v>15526.05</v>
      </c>
      <c r="C21" s="26">
        <f>+'Base FTES Allocations'!C8</f>
        <v>2847.2</v>
      </c>
      <c r="D21" s="26">
        <f>+'Base FTES Allocations'!D8</f>
        <v>2970.36</v>
      </c>
      <c r="E21" s="37">
        <f>SUM(B21:D21)</f>
        <v>21343.61</v>
      </c>
    </row>
    <row r="22" spans="1:6" s="26" customFormat="1" ht="15.75" thickBot="1" x14ac:dyDescent="0.25">
      <c r="A22" s="26" t="s">
        <v>181</v>
      </c>
      <c r="B22" s="26">
        <f>+B8</f>
        <v>15933.107879656995</v>
      </c>
      <c r="C22" s="26">
        <f>+C8</f>
        <v>2920.0536607159834</v>
      </c>
      <c r="D22" s="26">
        <f>+D8</f>
        <v>3046.3650574755302</v>
      </c>
      <c r="E22" s="37">
        <f>SUM(B22:D22)</f>
        <v>21899.526597848508</v>
      </c>
    </row>
    <row r="23" spans="1:6" s="26" customFormat="1" ht="15.75" thickBot="1" x14ac:dyDescent="0.25">
      <c r="A23" s="41" t="s">
        <v>12</v>
      </c>
      <c r="B23" s="42">
        <f>+B22-B21</f>
        <v>407.05787965699528</v>
      </c>
      <c r="C23" s="42">
        <f>+C22-C21</f>
        <v>72.853660715983551</v>
      </c>
      <c r="D23" s="42">
        <f>+D22-D21</f>
        <v>76.005057475530066</v>
      </c>
      <c r="E23" s="42">
        <f>+E22-E21</f>
        <v>555.91659784850708</v>
      </c>
    </row>
    <row r="24" spans="1:6" s="8" customFormat="1" x14ac:dyDescent="0.2">
      <c r="A24" s="9"/>
      <c r="C24" s="9"/>
      <c r="D24" s="9"/>
      <c r="E24" s="9"/>
    </row>
    <row r="25" spans="1:6" s="9" customFormat="1" x14ac:dyDescent="0.2">
      <c r="A25" s="9" t="s">
        <v>191</v>
      </c>
      <c r="B25" s="37">
        <f>+'Base FTES Allocations'!B9</f>
        <v>92.28</v>
      </c>
      <c r="C25" s="37">
        <f>+'Base FTES Allocations'!C9</f>
        <v>0.95</v>
      </c>
      <c r="D25" s="37">
        <f>+'Base FTES Allocations'!D9</f>
        <v>24.55</v>
      </c>
      <c r="E25" s="37">
        <f>SUM(B25:D25)</f>
        <v>117.78</v>
      </c>
    </row>
    <row r="26" spans="1:6" s="9" customFormat="1" ht="15.75" thickBot="1" x14ac:dyDescent="0.25">
      <c r="A26" s="9" t="s">
        <v>192</v>
      </c>
      <c r="B26" s="37">
        <f>+B9</f>
        <v>84.71</v>
      </c>
      <c r="C26" s="37">
        <f>+C9</f>
        <v>0.38</v>
      </c>
      <c r="D26" s="37">
        <f>+D9</f>
        <v>28.3</v>
      </c>
      <c r="E26" s="37">
        <f>SUM(B26:D26)</f>
        <v>113.38999999999999</v>
      </c>
    </row>
    <row r="27" spans="1:6" s="26" customFormat="1" ht="15.75" thickBot="1" x14ac:dyDescent="0.25">
      <c r="A27" s="41" t="s">
        <v>12</v>
      </c>
      <c r="B27" s="42">
        <f>+B26-B25</f>
        <v>-7.5700000000000074</v>
      </c>
      <c r="C27" s="42">
        <f>+C26-C25</f>
        <v>-0.56999999999999995</v>
      </c>
      <c r="D27" s="42">
        <f>+D26-D25</f>
        <v>3.75</v>
      </c>
      <c r="E27" s="42">
        <f>+E26-E25</f>
        <v>-4.3900000000000148</v>
      </c>
    </row>
    <row r="28" spans="1:6" s="26" customFormat="1" x14ac:dyDescent="0.2">
      <c r="A28" s="41"/>
      <c r="B28" s="140"/>
      <c r="C28" s="140"/>
      <c r="D28" s="140"/>
      <c r="E28" s="140"/>
    </row>
    <row r="29" spans="1:6" s="139" customFormat="1" ht="15.75" thickBot="1" x14ac:dyDescent="0.25">
      <c r="B29" s="146"/>
      <c r="C29" s="146"/>
      <c r="D29" s="146"/>
      <c r="E29" s="146"/>
    </row>
    <row r="30" spans="1:6" s="9" customFormat="1" ht="15.75" thickBot="1" x14ac:dyDescent="0.25">
      <c r="A30" s="9" t="s">
        <v>91</v>
      </c>
      <c r="B30" s="42">
        <f>IF(B23+B27&gt;=-0.0001,0,(B23*B15)+(B27*B16))</f>
        <v>0</v>
      </c>
      <c r="C30" s="42">
        <f>IF(C23+C27&gt;=-0.0001,0,(C23*C15)+(C27*C16))</f>
        <v>0</v>
      </c>
      <c r="D30" s="42">
        <f>IF(D23+D27&gt;=-0.0001,0,(D23*D15)+(D27*D16))</f>
        <v>0</v>
      </c>
      <c r="E30" s="24">
        <f>SUM(B30:D30)</f>
        <v>0</v>
      </c>
      <c r="F30" s="139"/>
    </row>
    <row r="31" spans="1:6" s="8" customFormat="1" x14ac:dyDescent="0.2">
      <c r="A31" s="9"/>
      <c r="C31" s="9"/>
      <c r="D31" s="9"/>
      <c r="E31" s="9"/>
      <c r="F31" s="141"/>
    </row>
    <row r="32" spans="1:6" s="8" customFormat="1" x14ac:dyDescent="0.2">
      <c r="A32" s="9"/>
      <c r="C32" s="9"/>
      <c r="D32" s="9"/>
      <c r="E32" s="9"/>
    </row>
    <row r="33" spans="1:6" s="9" customFormat="1" ht="16.5" thickBot="1" x14ac:dyDescent="0.3">
      <c r="A33" s="10" t="s">
        <v>76</v>
      </c>
      <c r="B33" s="115" t="s">
        <v>75</v>
      </c>
      <c r="C33" s="115" t="s">
        <v>75</v>
      </c>
      <c r="D33" s="115" t="s">
        <v>75</v>
      </c>
    </row>
    <row r="34" spans="1:6" s="8" customFormat="1" x14ac:dyDescent="0.2">
      <c r="A34" s="9" t="s">
        <v>74</v>
      </c>
      <c r="B34" s="116"/>
      <c r="C34" s="28"/>
      <c r="D34" s="28"/>
      <c r="E34" s="9"/>
    </row>
    <row r="35" spans="1:6" s="8" customFormat="1" x14ac:dyDescent="0.2">
      <c r="A35" s="9"/>
      <c r="B35" s="113"/>
      <c r="C35" s="9"/>
      <c r="D35" s="9"/>
      <c r="E35" s="9"/>
    </row>
    <row r="36" spans="1:6" s="8" customFormat="1" ht="16.5" thickBot="1" x14ac:dyDescent="0.3">
      <c r="A36" s="114" t="s">
        <v>73</v>
      </c>
      <c r="C36" s="39"/>
      <c r="D36" s="40"/>
      <c r="E36" s="40"/>
      <c r="F36" s="138"/>
    </row>
    <row r="37" spans="1:6" s="32" customFormat="1" ht="15.75" thickBot="1" x14ac:dyDescent="0.25">
      <c r="A37" s="9" t="s">
        <v>90</v>
      </c>
      <c r="B37" s="38">
        <f>IF(B34="No",0,IF(B30&gt;=0,0,IF(B30&lt;0,IF(B34="Yes",-B30,IF(B34="No",+B30,0)))))</f>
        <v>0</v>
      </c>
      <c r="C37" s="315">
        <f>IF(C34="No",0,IF(C30&gt;=0,0,IF(C30&lt;0,IF(C34="Yes",-C30,IF(C34="No",+C30,0)))))</f>
        <v>0</v>
      </c>
      <c r="D37" s="315">
        <f>IF(D34="No",0,IF(D30&gt;=0,0,IF(D30&lt;0,IF(D34="Yes",-D30,IF(D34="No",+D30,0)))))</f>
        <v>0</v>
      </c>
      <c r="E37" s="315">
        <f>SUM(B37:D37)</f>
        <v>0</v>
      </c>
    </row>
    <row r="38" spans="1:6" s="8" customFormat="1" x14ac:dyDescent="0.2">
      <c r="A38" s="9"/>
      <c r="C38" s="9"/>
      <c r="D38" s="9"/>
      <c r="E38" s="9"/>
    </row>
    <row r="39" spans="1:6" s="8" customFormat="1" x14ac:dyDescent="0.2">
      <c r="A39" s="9"/>
      <c r="B39" s="318"/>
      <c r="C39" s="9"/>
      <c r="D39" s="9"/>
      <c r="E39" s="9"/>
    </row>
    <row r="40" spans="1:6" s="8" customFormat="1" ht="15.75" thickBot="1" x14ac:dyDescent="0.25">
      <c r="A40" s="9" t="s">
        <v>232</v>
      </c>
      <c r="B40" s="335"/>
      <c r="C40" s="9"/>
      <c r="D40" s="9"/>
      <c r="E40" s="9"/>
    </row>
    <row r="41" spans="1:6" s="8" customFormat="1" x14ac:dyDescent="0.2">
      <c r="A41" s="9"/>
      <c r="B41" s="318"/>
      <c r="C41" s="139"/>
      <c r="D41" s="9"/>
      <c r="E41" s="9"/>
    </row>
    <row r="42" spans="1:6" s="8" customFormat="1" ht="16.5" thickBot="1" x14ac:dyDescent="0.3">
      <c r="A42" s="144"/>
      <c r="B42" s="145" t="s">
        <v>100</v>
      </c>
      <c r="C42" s="9"/>
      <c r="D42" s="9"/>
      <c r="E42" s="9"/>
    </row>
    <row r="43" spans="1:6" s="8" customFormat="1" x14ac:dyDescent="0.2">
      <c r="A43" s="144" t="s">
        <v>99</v>
      </c>
      <c r="B43" s="116" t="s">
        <v>131</v>
      </c>
      <c r="C43" s="9"/>
      <c r="D43" s="9"/>
      <c r="E43" s="9"/>
    </row>
    <row r="44" spans="1:6" x14ac:dyDescent="0.2">
      <c r="A44" s="4"/>
    </row>
    <row r="45" spans="1:6" x14ac:dyDescent="0.2">
      <c r="A45" s="4"/>
    </row>
    <row r="46" spans="1:6" x14ac:dyDescent="0.2">
      <c r="A46" s="4"/>
    </row>
    <row r="47" spans="1:6" x14ac:dyDescent="0.2">
      <c r="A47" s="4"/>
    </row>
    <row r="48" spans="1:6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  <row r="61" spans="1:1" x14ac:dyDescent="0.2">
      <c r="A61" s="4"/>
    </row>
    <row r="62" spans="1:1" x14ac:dyDescent="0.2">
      <c r="A62" s="4"/>
    </row>
    <row r="63" spans="1:1" x14ac:dyDescent="0.2">
      <c r="A63" s="4"/>
    </row>
    <row r="64" spans="1:1" x14ac:dyDescent="0.2">
      <c r="A64" s="4"/>
    </row>
    <row r="65" spans="1:1" x14ac:dyDescent="0.2">
      <c r="A65" s="4"/>
    </row>
    <row r="66" spans="1:1" x14ac:dyDescent="0.2">
      <c r="A66" s="4"/>
    </row>
    <row r="67" spans="1:1" x14ac:dyDescent="0.2">
      <c r="A67" s="4"/>
    </row>
    <row r="68" spans="1:1" x14ac:dyDescent="0.2">
      <c r="A68" s="4"/>
    </row>
    <row r="69" spans="1:1" x14ac:dyDescent="0.2">
      <c r="A69" s="4"/>
    </row>
  </sheetData>
  <phoneticPr fontId="0" type="noConversion"/>
  <pageMargins left="0.75" right="0.75" top="1" bottom="1" header="0.5" footer="0.5"/>
  <pageSetup scale="6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F57"/>
  <sheetViews>
    <sheetView topLeftCell="B16" workbookViewId="0">
      <selection activeCell="C31" sqref="C31:E31"/>
    </sheetView>
  </sheetViews>
  <sheetFormatPr defaultRowHeight="15" x14ac:dyDescent="0.2"/>
  <cols>
    <col min="1" max="1" width="84.42578125" customWidth="1"/>
    <col min="2" max="2" width="22" style="4" customWidth="1"/>
    <col min="3" max="3" width="19.42578125" customWidth="1"/>
    <col min="4" max="4" width="20.5703125" style="4" customWidth="1"/>
    <col min="5" max="5" width="19.5703125" style="4" customWidth="1"/>
    <col min="6" max="6" width="17.5703125" customWidth="1"/>
  </cols>
  <sheetData>
    <row r="1" spans="1:6" ht="18" x14ac:dyDescent="0.25">
      <c r="A1" s="1" t="s">
        <v>5</v>
      </c>
      <c r="B1" s="34"/>
      <c r="D1"/>
      <c r="E1"/>
    </row>
    <row r="2" spans="1:6" s="61" customFormat="1" ht="15.75" x14ac:dyDescent="0.25">
      <c r="A2" s="79"/>
      <c r="B2" s="80"/>
    </row>
    <row r="3" spans="1:6" ht="18" x14ac:dyDescent="0.25">
      <c r="A3" s="1" t="s">
        <v>79</v>
      </c>
      <c r="B3" s="2"/>
      <c r="C3" s="1"/>
    </row>
    <row r="5" spans="1:6" s="5" customFormat="1" ht="48" thickBot="1" x14ac:dyDescent="0.3">
      <c r="A5" s="6" t="s">
        <v>0</v>
      </c>
      <c r="B5" s="68"/>
      <c r="C5" s="3" t="s">
        <v>1</v>
      </c>
      <c r="D5" s="3" t="s">
        <v>2</v>
      </c>
      <c r="E5" s="3" t="s">
        <v>3</v>
      </c>
      <c r="F5" s="3" t="s">
        <v>78</v>
      </c>
    </row>
    <row r="7" spans="1:6" s="4" customFormat="1" ht="16.5" thickBot="1" x14ac:dyDescent="0.3">
      <c r="A7" s="31" t="s">
        <v>104</v>
      </c>
      <c r="B7" s="37"/>
    </row>
    <row r="8" spans="1:6" s="4" customFormat="1" ht="15.75" x14ac:dyDescent="0.25">
      <c r="A8" s="56" t="s">
        <v>19</v>
      </c>
      <c r="B8" s="37">
        <f>+'Income to be Allocated'!D11</f>
        <v>23250</v>
      </c>
    </row>
    <row r="9" spans="1:6" s="4" customFormat="1" ht="15.75" x14ac:dyDescent="0.25">
      <c r="A9" s="56" t="s">
        <v>20</v>
      </c>
      <c r="B9" s="37">
        <f>+'Income to be Allocated'!D12</f>
        <v>-37299.949999999997</v>
      </c>
    </row>
    <row r="10" spans="1:6" s="4" customFormat="1" ht="15.75" x14ac:dyDescent="0.25">
      <c r="A10" s="56" t="s">
        <v>21</v>
      </c>
      <c r="B10" s="37">
        <f>+'Income to be Allocated'!D13</f>
        <v>4645.3000000000466</v>
      </c>
    </row>
    <row r="11" spans="1:6" s="4" customFormat="1" ht="15.75" x14ac:dyDescent="0.25">
      <c r="A11" s="56" t="s">
        <v>22</v>
      </c>
      <c r="B11" s="37">
        <f>+'Income to be Allocated'!D14</f>
        <v>0</v>
      </c>
    </row>
    <row r="12" spans="1:6" s="4" customFormat="1" ht="15.75" x14ac:dyDescent="0.25">
      <c r="A12" s="56" t="s">
        <v>23</v>
      </c>
      <c r="B12" s="37">
        <f>+'Income to be Allocated'!D15</f>
        <v>-337040</v>
      </c>
    </row>
    <row r="13" spans="1:6" s="4" customFormat="1" ht="15.75" x14ac:dyDescent="0.25">
      <c r="A13" s="56" t="s">
        <v>24</v>
      </c>
      <c r="B13" s="37">
        <f>+'Income to be Allocated'!D16</f>
        <v>327237.54999999981</v>
      </c>
    </row>
    <row r="14" spans="1:6" s="4" customFormat="1" ht="15.75" x14ac:dyDescent="0.25">
      <c r="A14" s="56" t="s">
        <v>25</v>
      </c>
      <c r="B14" s="37">
        <f>+'Income to be Allocated'!D17</f>
        <v>-25864</v>
      </c>
    </row>
    <row r="15" spans="1:6" s="4" customFormat="1" ht="15.75" x14ac:dyDescent="0.25">
      <c r="A15" s="56" t="s">
        <v>26</v>
      </c>
      <c r="B15" s="37">
        <f>+'Income to be Allocated'!D18</f>
        <v>624503.62000000011</v>
      </c>
    </row>
    <row r="16" spans="1:6" s="4" customFormat="1" ht="15.75" x14ac:dyDescent="0.25">
      <c r="A16" s="56" t="s">
        <v>162</v>
      </c>
      <c r="B16" s="37">
        <f>+'Income to be Allocated'!D20</f>
        <v>12156.974913864746</v>
      </c>
    </row>
    <row r="17" spans="1:6" s="4" customFormat="1" ht="16.5" thickBot="1" x14ac:dyDescent="0.3">
      <c r="A17" s="56" t="s">
        <v>27</v>
      </c>
      <c r="B17" s="37">
        <f>+'Income to be Allocated'!D21</f>
        <v>8547.3300000000017</v>
      </c>
      <c r="C17" s="199"/>
    </row>
    <row r="18" spans="1:6" s="4" customFormat="1" ht="16.5" thickBot="1" x14ac:dyDescent="0.3">
      <c r="A18" s="226" t="s">
        <v>4</v>
      </c>
      <c r="B18" s="69">
        <f>SUM(B8:B17)</f>
        <v>600136.82491386472</v>
      </c>
    </row>
    <row r="19" spans="1:6" s="4" customFormat="1" x14ac:dyDescent="0.2">
      <c r="B19" s="37"/>
    </row>
    <row r="20" spans="1:6" s="4" customFormat="1" x14ac:dyDescent="0.2">
      <c r="A20" s="4" t="s">
        <v>105</v>
      </c>
      <c r="B20" s="37">
        <f>+'Base FTES Allocations'!E22</f>
        <v>140641682.37860939</v>
      </c>
      <c r="C20" s="147"/>
      <c r="D20" s="147"/>
      <c r="E20" s="147"/>
      <c r="F20" s="147"/>
    </row>
    <row r="21" spans="1:6" s="4" customFormat="1" ht="15.75" x14ac:dyDescent="0.25">
      <c r="B21" s="148"/>
    </row>
    <row r="22" spans="1:6" s="4" customFormat="1" x14ac:dyDescent="0.2">
      <c r="A22" s="4" t="s">
        <v>106</v>
      </c>
      <c r="B22" s="25">
        <f>B18/B20</f>
        <v>4.267133432735026E-3</v>
      </c>
    </row>
    <row r="23" spans="1:6" s="4" customFormat="1" ht="15.75" x14ac:dyDescent="0.25">
      <c r="B23" s="148"/>
    </row>
    <row r="24" spans="1:6" s="4" customFormat="1" x14ac:dyDescent="0.2">
      <c r="A24" s="26" t="s">
        <v>107</v>
      </c>
      <c r="B24" s="37"/>
      <c r="C24" s="147">
        <f>+'Base FTES Allocations'!B17</f>
        <v>4156.2283575105293</v>
      </c>
      <c r="D24" s="147">
        <f>+C24</f>
        <v>4156.2283575105293</v>
      </c>
      <c r="E24" s="147">
        <f>+D24</f>
        <v>4156.2283575105293</v>
      </c>
      <c r="F24" s="147"/>
    </row>
    <row r="25" spans="1:6" s="26" customFormat="1" x14ac:dyDescent="0.2">
      <c r="A25" s="26" t="s">
        <v>108</v>
      </c>
      <c r="C25" s="147">
        <f>+'Base FTES Allocations'!B16</f>
        <v>6589.4046217396872</v>
      </c>
      <c r="D25" s="26">
        <f>+C25</f>
        <v>6589.4046217396872</v>
      </c>
      <c r="E25" s="26">
        <f>+D25</f>
        <v>6589.4046217396872</v>
      </c>
    </row>
    <row r="26" spans="1:6" s="9" customFormat="1" x14ac:dyDescent="0.2"/>
    <row r="27" spans="1:6" s="9" customFormat="1" x14ac:dyDescent="0.2">
      <c r="A27" s="9" t="s">
        <v>109</v>
      </c>
      <c r="C27" s="26">
        <f>+C24*$B$22</f>
        <v>17.735180978414565</v>
      </c>
      <c r="D27" s="26">
        <f>+C27</f>
        <v>17.735180978414565</v>
      </c>
      <c r="E27" s="26">
        <f>+D27</f>
        <v>17.735180978414565</v>
      </c>
      <c r="F27" s="26"/>
    </row>
    <row r="28" spans="1:6" s="9" customFormat="1" x14ac:dyDescent="0.2">
      <c r="A28" s="9" t="s">
        <v>110</v>
      </c>
      <c r="C28" s="26">
        <f>+C25*$B$22</f>
        <v>28.117868763244118</v>
      </c>
      <c r="D28" s="26">
        <f>+C28</f>
        <v>28.117868763244118</v>
      </c>
      <c r="E28" s="140">
        <f>+D28</f>
        <v>28.117868763244118</v>
      </c>
      <c r="F28" s="26"/>
    </row>
    <row r="29" spans="1:6" s="9" customFormat="1" x14ac:dyDescent="0.2"/>
    <row r="30" spans="1:6" s="9" customFormat="1" x14ac:dyDescent="0.2">
      <c r="A30" s="9" t="s">
        <v>137</v>
      </c>
      <c r="C30" s="140">
        <f>+C27*'Base FTES Allocations'!B9</f>
        <v>1636.6025006880961</v>
      </c>
      <c r="D30" s="140">
        <f>+D27*'Base FTES Allocations'!C9</f>
        <v>16.848421929493835</v>
      </c>
      <c r="E30" s="140">
        <f>+E27*'Base FTES Allocations'!D9</f>
        <v>435.39869302007759</v>
      </c>
      <c r="F30" s="140">
        <f>SUM(C30:E30)</f>
        <v>2088.8496156376673</v>
      </c>
    </row>
    <row r="31" spans="1:6" s="139" customFormat="1" ht="15.75" thickBot="1" x14ac:dyDescent="0.25">
      <c r="A31" s="139" t="s">
        <v>138</v>
      </c>
      <c r="C31" s="139">
        <f>+C28*'Base FTES Allocations'!B8-C30</f>
        <v>434922.83381087822</v>
      </c>
      <c r="D31" s="139">
        <f>+D28*'Base FTES Allocations'!C8-D30</f>
        <v>80040.347520779163</v>
      </c>
      <c r="E31" s="139">
        <f>+E28*'Base FTES Allocations'!D8-E30</f>
        <v>83084.793966569719</v>
      </c>
      <c r="F31" s="140">
        <f>SUM(C31:E31)</f>
        <v>598047.97529822716</v>
      </c>
    </row>
    <row r="32" spans="1:6" s="4" customFormat="1" ht="15.75" thickBot="1" x14ac:dyDescent="0.25">
      <c r="C32" s="199">
        <f>SUM(C30:C31)</f>
        <v>436559.43631156633</v>
      </c>
      <c r="D32" s="199">
        <f>SUM(D30:D31)</f>
        <v>80057.195942708655</v>
      </c>
      <c r="E32" s="199">
        <f>SUM(E30:E31)</f>
        <v>83520.192659589797</v>
      </c>
      <c r="F32" s="176">
        <f>SUM(F30:F31)</f>
        <v>600136.82491386484</v>
      </c>
    </row>
    <row r="33" spans="1:6" s="4" customFormat="1" x14ac:dyDescent="0.2">
      <c r="F33" s="117"/>
    </row>
    <row r="34" spans="1:6" s="4" customFormat="1" x14ac:dyDescent="0.2"/>
    <row r="35" spans="1:6" s="9" customFormat="1" ht="16.5" thickBot="1" x14ac:dyDescent="0.3">
      <c r="A35" s="10" t="s">
        <v>76</v>
      </c>
      <c r="C35" s="115" t="s">
        <v>75</v>
      </c>
      <c r="D35" s="115" t="s">
        <v>75</v>
      </c>
      <c r="E35" s="115" t="s">
        <v>75</v>
      </c>
    </row>
    <row r="36" spans="1:6" s="8" customFormat="1" x14ac:dyDescent="0.2">
      <c r="A36" s="9" t="s">
        <v>118</v>
      </c>
      <c r="C36" s="116"/>
      <c r="D36" s="116"/>
      <c r="E36" s="116"/>
      <c r="F36" s="9"/>
    </row>
    <row r="37" spans="1:6" s="8" customFormat="1" x14ac:dyDescent="0.2">
      <c r="A37" s="9"/>
      <c r="C37" s="113"/>
      <c r="D37" s="9"/>
      <c r="E37" s="9"/>
      <c r="F37" s="9"/>
    </row>
    <row r="38" spans="1:6" s="8" customFormat="1" ht="16.5" thickBot="1" x14ac:dyDescent="0.3">
      <c r="A38" s="114" t="s">
        <v>73</v>
      </c>
      <c r="C38" s="39"/>
      <c r="D38" s="40"/>
      <c r="E38" s="40"/>
      <c r="F38" s="76"/>
    </row>
    <row r="39" spans="1:6" s="32" customFormat="1" ht="15.75" thickBot="1" x14ac:dyDescent="0.25">
      <c r="A39" s="9" t="s">
        <v>90</v>
      </c>
      <c r="C39" s="38">
        <f>-C41*0.5</f>
        <v>0</v>
      </c>
      <c r="D39" s="38">
        <f>-D41*0.5</f>
        <v>0</v>
      </c>
      <c r="E39" s="38">
        <f>-E41*0.5</f>
        <v>0</v>
      </c>
      <c r="F39" s="38">
        <f>SUM(C39:E39)</f>
        <v>0</v>
      </c>
    </row>
    <row r="40" spans="1:6" s="8" customFormat="1" ht="15.75" thickBot="1" x14ac:dyDescent="0.25">
      <c r="A40" s="9"/>
      <c r="D40" s="9"/>
      <c r="E40" s="9"/>
      <c r="F40" s="9"/>
    </row>
    <row r="41" spans="1:6" ht="18.75" thickBot="1" x14ac:dyDescent="0.3">
      <c r="A41" s="4" t="s">
        <v>147</v>
      </c>
      <c r="C41" s="134">
        <v>0</v>
      </c>
      <c r="D41" s="134">
        <v>0</v>
      </c>
      <c r="E41" s="134">
        <v>0</v>
      </c>
    </row>
    <row r="42" spans="1:6" x14ac:dyDescent="0.2">
      <c r="A42" s="4"/>
    </row>
    <row r="43" spans="1:6" x14ac:dyDescent="0.2">
      <c r="A43" s="4"/>
    </row>
    <row r="44" spans="1:6" x14ac:dyDescent="0.2">
      <c r="A44" s="4"/>
    </row>
    <row r="45" spans="1:6" x14ac:dyDescent="0.2">
      <c r="A45" s="4"/>
    </row>
    <row r="46" spans="1:6" x14ac:dyDescent="0.2">
      <c r="A46" s="4"/>
    </row>
    <row r="47" spans="1:6" x14ac:dyDescent="0.2">
      <c r="A47" s="4"/>
    </row>
    <row r="48" spans="1:6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</sheetData>
  <phoneticPr fontId="0" type="noConversion"/>
  <pageMargins left="0.75" right="0.75" top="1" bottom="1" header="0.5" footer="0.5"/>
  <pageSetup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99"/>
  <sheetViews>
    <sheetView tabSelected="1" topLeftCell="A48" zoomScale="75" zoomScaleNormal="75" workbookViewId="0">
      <selection activeCell="B65" sqref="B65"/>
    </sheetView>
  </sheetViews>
  <sheetFormatPr defaultColWidth="9.42578125" defaultRowHeight="18" x14ac:dyDescent="0.25"/>
  <cols>
    <col min="1" max="1" width="9.5703125" style="2" customWidth="1"/>
    <col min="2" max="2" width="97" style="87" customWidth="1"/>
    <col min="3" max="3" width="19.5703125" style="87" customWidth="1"/>
    <col min="4" max="4" width="21.140625" style="87" bestFit="1" customWidth="1"/>
    <col min="5" max="6" width="20.7109375" style="87" customWidth="1"/>
    <col min="7" max="7" width="25.28515625" style="87" bestFit="1" customWidth="1"/>
    <col min="8" max="8" width="19.42578125" style="87" customWidth="1"/>
    <col min="9" max="9" width="21.5703125" style="1" customWidth="1"/>
    <col min="10" max="10" width="23.42578125" style="228" hidden="1" customWidth="1"/>
    <col min="11" max="11" width="26.5703125" style="228" hidden="1" customWidth="1"/>
    <col min="12" max="12" width="22.5703125" style="228" hidden="1" customWidth="1"/>
    <col min="13" max="13" width="24.42578125" style="228" hidden="1" customWidth="1"/>
    <col min="14" max="14" width="17.5703125" style="228" hidden="1" customWidth="1"/>
    <col min="15" max="15" width="24.42578125" style="228" bestFit="1" customWidth="1"/>
    <col min="16" max="16" width="20.5703125" style="228" bestFit="1" customWidth="1"/>
    <col min="17" max="17" width="21.42578125" style="228" bestFit="1" customWidth="1"/>
    <col min="18" max="18" width="15.28515625" style="228" bestFit="1" customWidth="1"/>
    <col min="19" max="24" width="9.42578125" style="228"/>
    <col min="25" max="16384" width="9.42578125" style="87"/>
  </cols>
  <sheetData>
    <row r="1" spans="1:24" s="5" customFormat="1" ht="93.75" thickTop="1" thickBot="1" x14ac:dyDescent="0.45">
      <c r="A1" s="273"/>
      <c r="B1" s="274" t="s">
        <v>308</v>
      </c>
      <c r="C1" s="275" t="s">
        <v>8</v>
      </c>
      <c r="D1" s="275" t="s">
        <v>1</v>
      </c>
      <c r="E1" s="275" t="s">
        <v>2</v>
      </c>
      <c r="F1" s="275" t="s">
        <v>3</v>
      </c>
      <c r="G1" s="275" t="s">
        <v>89</v>
      </c>
      <c r="H1" s="275" t="s">
        <v>199</v>
      </c>
      <c r="I1" s="275" t="s">
        <v>4</v>
      </c>
      <c r="J1" s="229"/>
      <c r="K1" s="229"/>
      <c r="L1" s="230"/>
      <c r="M1" s="230"/>
      <c r="N1" s="230"/>
      <c r="O1" s="313">
        <f ca="1">NOW()</f>
        <v>43935.560856481483</v>
      </c>
      <c r="P1" s="230"/>
      <c r="Q1" s="230"/>
      <c r="R1" s="230"/>
      <c r="S1" s="230"/>
      <c r="T1" s="230"/>
      <c r="U1" s="230"/>
      <c r="V1" s="230"/>
      <c r="W1" s="230"/>
      <c r="X1" s="230"/>
    </row>
    <row r="2" spans="1:24" ht="18.75" thickTop="1" x14ac:dyDescent="0.25">
      <c r="B2" s="75"/>
      <c r="H2" s="260"/>
      <c r="J2" s="231"/>
      <c r="K2" s="231"/>
    </row>
    <row r="3" spans="1:24" ht="23.25" x14ac:dyDescent="0.35">
      <c r="A3" s="280"/>
      <c r="B3" s="281" t="s">
        <v>68</v>
      </c>
      <c r="C3" s="102"/>
      <c r="D3" s="102"/>
      <c r="E3" s="102"/>
      <c r="F3" s="102"/>
      <c r="G3" s="102"/>
      <c r="H3" s="102"/>
      <c r="I3" s="103"/>
      <c r="J3" s="231"/>
      <c r="K3" s="231"/>
    </row>
    <row r="4" spans="1:24" s="91" customFormat="1" ht="18.75" thickBot="1" x14ac:dyDescent="0.3">
      <c r="A4" s="7"/>
      <c r="B4" s="92" t="s">
        <v>185</v>
      </c>
      <c r="C4" s="93"/>
      <c r="D4" s="94"/>
      <c r="E4" s="94"/>
      <c r="F4" s="94"/>
      <c r="G4" s="94"/>
      <c r="H4" s="94"/>
      <c r="I4" s="93"/>
      <c r="J4" s="101"/>
      <c r="K4" s="101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</row>
    <row r="5" spans="1:24" s="91" customFormat="1" x14ac:dyDescent="0.25">
      <c r="A5" s="7" t="s">
        <v>48</v>
      </c>
      <c r="B5" s="95" t="s">
        <v>183</v>
      </c>
      <c r="C5" s="93"/>
      <c r="D5" s="94"/>
      <c r="E5" s="94"/>
      <c r="F5" s="94"/>
      <c r="G5" s="94"/>
      <c r="H5" s="321"/>
      <c r="I5" s="88">
        <f>SUM(D5:H5)</f>
        <v>0</v>
      </c>
      <c r="J5" s="101"/>
      <c r="K5" s="101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</row>
    <row r="6" spans="1:24" s="91" customFormat="1" ht="18.75" thickBot="1" x14ac:dyDescent="0.3">
      <c r="A6" s="7" t="s">
        <v>48</v>
      </c>
      <c r="B6" s="95" t="s">
        <v>184</v>
      </c>
      <c r="C6" s="93"/>
      <c r="D6" s="292"/>
      <c r="E6" s="293"/>
      <c r="F6" s="293"/>
      <c r="G6" s="99">
        <v>0</v>
      </c>
      <c r="H6" s="94"/>
      <c r="I6" s="88">
        <f>SUM(D6:H6)</f>
        <v>0</v>
      </c>
      <c r="J6" s="101"/>
      <c r="K6" s="101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</row>
    <row r="7" spans="1:24" s="99" customFormat="1" ht="18.75" thickBot="1" x14ac:dyDescent="0.3">
      <c r="A7" s="212" t="s">
        <v>48</v>
      </c>
      <c r="B7" s="105" t="s">
        <v>182</v>
      </c>
      <c r="C7" s="320"/>
      <c r="D7" s="355">
        <f>+'Beginning Balances'!B10</f>
        <v>21922431.359737903</v>
      </c>
      <c r="E7" s="356">
        <f>+'Beginning Balances'!C10</f>
        <v>4398817.4603075702</v>
      </c>
      <c r="F7" s="356">
        <f>+'Beginning Balances'!D10</f>
        <v>7286415.5200230349</v>
      </c>
      <c r="G7" s="356">
        <f>+'Beginning Balances'!E10</f>
        <v>0</v>
      </c>
      <c r="H7" s="357">
        <f>+'Beginning Balances'!F10</f>
        <v>29921197.449999999</v>
      </c>
      <c r="I7" s="98">
        <f>SUM(D7:H7)</f>
        <v>63528861.790068507</v>
      </c>
      <c r="J7" s="101"/>
      <c r="K7" s="101"/>
      <c r="M7" s="99">
        <f>22004517-933978</f>
        <v>21070539</v>
      </c>
      <c r="P7" s="314"/>
    </row>
    <row r="8" spans="1:24" s="88" customFormat="1" ht="24" customHeight="1" thickBot="1" x14ac:dyDescent="0.3">
      <c r="A8" s="7"/>
      <c r="B8" s="107" t="s">
        <v>16</v>
      </c>
      <c r="C8" s="104"/>
      <c r="D8" s="104">
        <f t="shared" ref="D8:I8" si="0">SUM(D5:D7)</f>
        <v>21922431.359737903</v>
      </c>
      <c r="E8" s="104">
        <f t="shared" si="0"/>
        <v>4398817.4603075702</v>
      </c>
      <c r="F8" s="104">
        <f t="shared" si="0"/>
        <v>7286415.5200230349</v>
      </c>
      <c r="G8" s="104">
        <f t="shared" si="0"/>
        <v>0</v>
      </c>
      <c r="H8" s="104">
        <f t="shared" si="0"/>
        <v>29921197.449999999</v>
      </c>
      <c r="I8" s="104">
        <f t="shared" si="0"/>
        <v>63528861.790068507</v>
      </c>
      <c r="J8" s="101"/>
      <c r="K8" s="105">
        <f>+'[2]2010-11 Carryover'!$H$42</f>
        <v>26718741.111284718</v>
      </c>
      <c r="L8" s="98">
        <f>+K8-I8</f>
        <v>-36810120.678783789</v>
      </c>
      <c r="M8" s="259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</row>
    <row r="9" spans="1:24" ht="18.75" thickBot="1" x14ac:dyDescent="0.3">
      <c r="B9" s="111"/>
      <c r="C9" s="102"/>
      <c r="D9" s="102"/>
      <c r="E9" s="102"/>
      <c r="F9" s="102"/>
      <c r="G9" s="102"/>
      <c r="H9" s="102"/>
      <c r="I9" s="103"/>
      <c r="J9" s="101"/>
      <c r="K9" s="231"/>
    </row>
    <row r="10" spans="1:24" s="91" customFormat="1" ht="23.25" customHeight="1" thickBot="1" x14ac:dyDescent="0.3">
      <c r="A10" s="7" t="s">
        <v>49</v>
      </c>
      <c r="B10" s="107" t="s">
        <v>67</v>
      </c>
      <c r="C10" s="109">
        <f>+'Income to be Allocated'!B22</f>
        <v>165372581.97000003</v>
      </c>
      <c r="D10" s="90"/>
      <c r="E10" s="90"/>
      <c r="F10" s="90"/>
      <c r="G10" s="90"/>
      <c r="H10" s="90"/>
      <c r="I10" s="89">
        <f>SUM(C10:H10)</f>
        <v>165372581.97000003</v>
      </c>
      <c r="J10" s="101"/>
      <c r="K10" s="101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</row>
    <row r="11" spans="1:24" s="99" customFormat="1" ht="18.75" thickBot="1" x14ac:dyDescent="0.3">
      <c r="A11" s="212"/>
      <c r="B11" s="112"/>
      <c r="C11" s="122"/>
      <c r="D11" s="90"/>
      <c r="E11" s="90"/>
      <c r="F11" s="90"/>
      <c r="G11" s="90"/>
      <c r="H11" s="90"/>
      <c r="I11" s="123"/>
      <c r="J11" s="101"/>
      <c r="K11" s="101"/>
    </row>
    <row r="12" spans="1:24" s="91" customFormat="1" ht="25.5" customHeight="1" thickBot="1" x14ac:dyDescent="0.3">
      <c r="A12" s="7"/>
      <c r="B12" s="107" t="s">
        <v>69</v>
      </c>
      <c r="C12" s="104">
        <f>+C10+C8</f>
        <v>165372581.97000003</v>
      </c>
      <c r="D12" s="104">
        <f t="shared" ref="D12:I12" si="1">+D10+D8</f>
        <v>21922431.359737903</v>
      </c>
      <c r="E12" s="104">
        <f t="shared" si="1"/>
        <v>4398817.4603075702</v>
      </c>
      <c r="F12" s="104">
        <f t="shared" si="1"/>
        <v>7286415.5200230349</v>
      </c>
      <c r="G12" s="104">
        <f t="shared" si="1"/>
        <v>0</v>
      </c>
      <c r="H12" s="104">
        <f t="shared" si="1"/>
        <v>29921197.449999999</v>
      </c>
      <c r="I12" s="104">
        <f t="shared" si="1"/>
        <v>228901443.76006854</v>
      </c>
      <c r="J12" s="101"/>
      <c r="K12" s="101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</row>
    <row r="13" spans="1:24" s="91" customFormat="1" x14ac:dyDescent="0.25">
      <c r="A13" s="266"/>
      <c r="B13" s="118"/>
      <c r="C13" s="118"/>
      <c r="D13" s="119"/>
      <c r="E13" s="119"/>
      <c r="F13" s="119"/>
      <c r="G13" s="119"/>
      <c r="H13" s="119"/>
      <c r="I13" s="118"/>
      <c r="J13" s="101"/>
      <c r="K13" s="101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</row>
    <row r="14" spans="1:24" s="91" customFormat="1" ht="16.5" customHeight="1" x14ac:dyDescent="0.25">
      <c r="A14" s="266"/>
      <c r="B14" s="119"/>
      <c r="C14" s="118"/>
      <c r="D14" s="119"/>
      <c r="E14" s="119"/>
      <c r="F14" s="119"/>
      <c r="G14" s="119"/>
      <c r="H14" s="119"/>
      <c r="I14" s="118"/>
      <c r="J14" s="101"/>
      <c r="K14" s="101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</row>
    <row r="15" spans="1:24" s="101" customFormat="1" ht="22.5" customHeight="1" x14ac:dyDescent="0.25">
      <c r="A15" s="267"/>
      <c r="C15" s="105"/>
      <c r="I15" s="105"/>
    </row>
    <row r="16" spans="1:24" ht="24" thickBot="1" x14ac:dyDescent="0.4">
      <c r="A16" s="280"/>
      <c r="B16" s="281" t="s">
        <v>88</v>
      </c>
      <c r="C16" s="142"/>
      <c r="D16" s="142"/>
      <c r="E16" s="142"/>
      <c r="F16" s="142"/>
      <c r="G16" s="142"/>
      <c r="H16" s="142"/>
      <c r="I16" s="200"/>
      <c r="J16" s="231"/>
      <c r="K16" s="231"/>
    </row>
    <row r="17" spans="1:24" s="91" customFormat="1" ht="18.75" thickBot="1" x14ac:dyDescent="0.3">
      <c r="A17" s="7"/>
      <c r="B17" s="92" t="s">
        <v>45</v>
      </c>
      <c r="C17" s="93"/>
      <c r="D17" s="94"/>
      <c r="E17" s="94"/>
      <c r="F17" s="94"/>
      <c r="G17" s="94"/>
      <c r="H17" s="94"/>
      <c r="I17" s="93"/>
      <c r="J17" s="101"/>
      <c r="K17" s="101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</row>
    <row r="18" spans="1:24" s="91" customFormat="1" ht="18.75" thickBot="1" x14ac:dyDescent="0.3">
      <c r="A18" s="7" t="s">
        <v>50</v>
      </c>
      <c r="B18" s="88" t="s">
        <v>62</v>
      </c>
      <c r="C18" s="94"/>
      <c r="D18" s="106">
        <f>+'[1]Summary Allocations'!$D$25</f>
        <v>7416717.6515999995</v>
      </c>
      <c r="E18" s="106">
        <f>+'[1]Summary Allocations'!$E$25</f>
        <v>5731097.2812000001</v>
      </c>
      <c r="F18" s="106">
        <f>+'[1]Summary Allocations'!$F$25</f>
        <v>4045480.0085999998</v>
      </c>
      <c r="G18" s="90"/>
      <c r="H18" s="90"/>
      <c r="I18" s="326">
        <f>SUM(D18:H18)</f>
        <v>17193294.941399999</v>
      </c>
      <c r="J18" s="101"/>
      <c r="K18" s="101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</row>
    <row r="19" spans="1:24" s="91" customFormat="1" x14ac:dyDescent="0.25">
      <c r="A19" s="7"/>
      <c r="B19" s="88"/>
      <c r="C19" s="94"/>
      <c r="D19" s="94"/>
      <c r="E19" s="94"/>
      <c r="F19" s="94"/>
      <c r="G19" s="94"/>
      <c r="H19" s="94"/>
      <c r="I19" s="93"/>
      <c r="J19" s="101"/>
      <c r="K19" s="101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</row>
    <row r="20" spans="1:24" s="91" customFormat="1" ht="18.75" thickBot="1" x14ac:dyDescent="0.3">
      <c r="A20" s="7"/>
      <c r="B20" s="92" t="s">
        <v>66</v>
      </c>
      <c r="C20" s="97"/>
      <c r="D20" s="94"/>
      <c r="E20" s="94"/>
      <c r="F20" s="94"/>
      <c r="G20" s="94"/>
      <c r="H20" s="94"/>
      <c r="I20" s="93"/>
      <c r="J20" s="101"/>
      <c r="K20" s="101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</row>
    <row r="21" spans="1:24" s="91" customFormat="1" x14ac:dyDescent="0.25">
      <c r="A21" s="7" t="s">
        <v>51</v>
      </c>
      <c r="B21" s="98" t="s">
        <v>61</v>
      </c>
      <c r="C21" s="97"/>
      <c r="D21" s="99">
        <f>+'Foundation Calculations'!E8+'Foundation Calculations'!E9+'Foundation Calculations'!E10-'Summary Allocations'!D18</f>
        <v>38.56840000115335</v>
      </c>
      <c r="E21" s="99">
        <f>+'Foundation Calculations'!E15+'Foundation Calculations'!E13+'Foundation Calculations'!E12+'Foundation Calculations'!E14-'Summary Allocations'!E18</f>
        <v>32.108799999579787</v>
      </c>
      <c r="F21" s="99">
        <f>+'Foundation Calculations'!E17-'Summary Allocations'!F18</f>
        <v>22.271399999968708</v>
      </c>
      <c r="G21" s="94"/>
      <c r="H21" s="94"/>
      <c r="I21" s="105">
        <f>SUM(C21:H21)</f>
        <v>92.948600000701845</v>
      </c>
      <c r="J21" s="101"/>
      <c r="K21" s="101"/>
      <c r="L21" s="99"/>
      <c r="M21" s="99"/>
      <c r="N21" s="99"/>
      <c r="O21" s="99">
        <f>+'Foundation Calculations'!F18</f>
        <v>0</v>
      </c>
      <c r="P21" s="388"/>
      <c r="Q21" s="99"/>
      <c r="R21" s="99"/>
      <c r="S21" s="99"/>
      <c r="T21" s="99"/>
      <c r="U21" s="99"/>
      <c r="V21" s="99"/>
      <c r="W21" s="99"/>
      <c r="X21" s="99"/>
    </row>
    <row r="22" spans="1:24" s="91" customFormat="1" hidden="1" x14ac:dyDescent="0.25">
      <c r="A22" s="7"/>
      <c r="B22" s="98"/>
      <c r="C22" s="97"/>
      <c r="D22" s="94"/>
      <c r="E22" s="94"/>
      <c r="F22" s="94"/>
      <c r="G22" s="94"/>
      <c r="H22" s="94"/>
      <c r="I22" s="96"/>
      <c r="J22" s="101"/>
      <c r="K22" s="101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</row>
    <row r="23" spans="1:24" s="99" customFormat="1" hidden="1" x14ac:dyDescent="0.25">
      <c r="A23" s="212" t="s">
        <v>52</v>
      </c>
      <c r="B23" s="88" t="s">
        <v>59</v>
      </c>
      <c r="C23" s="97"/>
      <c r="D23" s="101">
        <v>0</v>
      </c>
      <c r="E23" s="101">
        <v>0</v>
      </c>
      <c r="F23" s="101">
        <v>0</v>
      </c>
      <c r="G23" s="97"/>
      <c r="H23" s="101">
        <v>0</v>
      </c>
      <c r="I23" s="95">
        <f>SUM(C23:H23)</f>
        <v>0</v>
      </c>
      <c r="J23" s="101"/>
      <c r="K23" s="101"/>
    </row>
    <row r="24" spans="1:24" s="91" customFormat="1" ht="18.75" thickBot="1" x14ac:dyDescent="0.3">
      <c r="A24" s="7"/>
      <c r="B24" s="88"/>
      <c r="C24" s="97"/>
      <c r="D24" s="94"/>
      <c r="E24" s="94"/>
      <c r="F24" s="94"/>
      <c r="G24" s="94"/>
      <c r="H24" s="94"/>
      <c r="I24" s="96"/>
      <c r="J24" s="101"/>
      <c r="K24" s="101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</row>
    <row r="25" spans="1:24" s="88" customFormat="1" ht="23.25" customHeight="1" thickBot="1" x14ac:dyDescent="0.3">
      <c r="A25" s="259"/>
      <c r="B25" s="107" t="s">
        <v>70</v>
      </c>
      <c r="C25" s="104"/>
      <c r="D25" s="104">
        <f t="shared" ref="D25:I25" si="2">SUM(D18:D24)</f>
        <v>7416756.2200000007</v>
      </c>
      <c r="E25" s="104">
        <f t="shared" si="2"/>
        <v>5731129.3899999997</v>
      </c>
      <c r="F25" s="104">
        <f t="shared" si="2"/>
        <v>4045502.28</v>
      </c>
      <c r="G25" s="104">
        <f t="shared" si="2"/>
        <v>0</v>
      </c>
      <c r="H25" s="104">
        <f t="shared" si="2"/>
        <v>0</v>
      </c>
      <c r="I25" s="104">
        <f t="shared" si="2"/>
        <v>17193387.890000001</v>
      </c>
      <c r="J25" s="101"/>
      <c r="K25" s="105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</row>
    <row r="26" spans="1:24" s="91" customFormat="1" x14ac:dyDescent="0.25">
      <c r="A26" s="7"/>
      <c r="C26" s="97"/>
      <c r="D26" s="94"/>
      <c r="E26" s="94"/>
      <c r="F26" s="94"/>
      <c r="G26" s="94"/>
      <c r="H26" s="94"/>
      <c r="I26" s="93"/>
      <c r="J26" s="101"/>
      <c r="K26" s="101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</row>
    <row r="27" spans="1:24" s="101" customFormat="1" x14ac:dyDescent="0.25">
      <c r="A27" s="267"/>
      <c r="C27" s="97"/>
      <c r="D27" s="97"/>
      <c r="E27" s="97"/>
      <c r="F27" s="97"/>
      <c r="G27" s="97"/>
      <c r="H27" s="97"/>
      <c r="I27" s="96"/>
      <c r="M27" s="99"/>
    </row>
    <row r="28" spans="1:24" s="91" customFormat="1" ht="18.75" thickBot="1" x14ac:dyDescent="0.3">
      <c r="A28" s="7" t="s">
        <v>53</v>
      </c>
      <c r="B28" s="92" t="s">
        <v>46</v>
      </c>
      <c r="C28" s="97"/>
      <c r="D28" s="106">
        <f>+'[1]Summary Allocations'!D44</f>
        <v>102272494.55447847</v>
      </c>
      <c r="E28" s="106">
        <f>+'[1]Summary Allocations'!E44</f>
        <v>19632692.632877342</v>
      </c>
      <c r="F28" s="106">
        <f>+'[1]Summary Allocations'!F44</f>
        <v>19349309.821075376</v>
      </c>
      <c r="G28" s="90"/>
      <c r="H28" s="90"/>
      <c r="I28" s="326">
        <f>SUM(D28:H28)</f>
        <v>141254497.0084312</v>
      </c>
      <c r="J28" s="105"/>
      <c r="K28" s="101"/>
      <c r="L28" s="99"/>
      <c r="M28" s="99"/>
      <c r="N28" s="99"/>
      <c r="O28" s="99">
        <f>+I28+I18</f>
        <v>158447791.94983119</v>
      </c>
      <c r="P28" s="99">
        <f>+'Income to be Allocated'!C22</f>
        <v>158447792.26186064</v>
      </c>
      <c r="Q28" s="99">
        <f>+O28-P28</f>
        <v>-0.31202945113182068</v>
      </c>
      <c r="R28" s="99"/>
      <c r="S28" s="99"/>
      <c r="T28" s="99"/>
      <c r="U28" s="99"/>
      <c r="V28" s="99"/>
      <c r="W28" s="99"/>
      <c r="X28" s="99"/>
    </row>
    <row r="29" spans="1:24" s="91" customFormat="1" x14ac:dyDescent="0.25">
      <c r="A29" s="7"/>
      <c r="C29" s="97"/>
      <c r="D29" s="94"/>
      <c r="E29" s="94"/>
      <c r="F29" s="94"/>
      <c r="G29" s="94"/>
      <c r="H29" s="94"/>
      <c r="I29" s="93"/>
      <c r="J29" s="101"/>
      <c r="K29" s="101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</row>
    <row r="30" spans="1:24" s="91" customFormat="1" ht="18.75" thickBot="1" x14ac:dyDescent="0.3">
      <c r="A30" s="7"/>
      <c r="B30" s="92" t="s">
        <v>47</v>
      </c>
      <c r="C30" s="97"/>
      <c r="D30" s="94"/>
      <c r="E30" s="94"/>
      <c r="F30" s="94"/>
      <c r="G30" s="94"/>
      <c r="H30" s="94"/>
      <c r="I30" s="93"/>
      <c r="J30" s="101"/>
      <c r="K30" s="101"/>
      <c r="L30" s="99"/>
      <c r="M30" s="99"/>
      <c r="N30" s="99"/>
      <c r="O30" s="99"/>
      <c r="P30" s="99"/>
      <c r="Q30" s="314"/>
      <c r="R30" s="99"/>
      <c r="S30" s="99"/>
      <c r="T30" s="99"/>
      <c r="U30" s="99"/>
      <c r="V30" s="99"/>
      <c r="W30" s="99"/>
      <c r="X30" s="99"/>
    </row>
    <row r="31" spans="1:24" s="91" customFormat="1" x14ac:dyDescent="0.25">
      <c r="A31" s="7" t="s">
        <v>54</v>
      </c>
      <c r="B31" s="95" t="s">
        <v>169</v>
      </c>
      <c r="C31" s="97"/>
      <c r="D31" s="99">
        <f>+'Base Adj'!C23</f>
        <v>4600694.6798106236</v>
      </c>
      <c r="E31" s="99">
        <f>+'Base Adj'!D23</f>
        <v>843685.15445698076</v>
      </c>
      <c r="F31" s="99">
        <f>+'Base Adj'!E23</f>
        <v>880180.04895786662</v>
      </c>
      <c r="G31" s="94"/>
      <c r="H31" s="94"/>
      <c r="I31" s="98">
        <f>SUM(D31:H31)</f>
        <v>6324559.8832254708</v>
      </c>
      <c r="J31" s="101"/>
      <c r="K31" s="101"/>
      <c r="L31" s="99"/>
      <c r="M31" s="99"/>
      <c r="N31" s="99"/>
      <c r="O31" s="99"/>
      <c r="P31" s="95"/>
      <c r="Q31" s="99"/>
      <c r="R31" s="99"/>
      <c r="S31" s="99"/>
      <c r="T31" s="99"/>
      <c r="U31" s="99"/>
      <c r="V31" s="99"/>
      <c r="W31" s="99"/>
      <c r="X31" s="99"/>
    </row>
    <row r="32" spans="1:24" s="91" customFormat="1" x14ac:dyDescent="0.25">
      <c r="A32" s="7"/>
      <c r="B32" s="95"/>
      <c r="C32" s="97"/>
      <c r="D32" s="94"/>
      <c r="E32" s="94"/>
      <c r="F32" s="94"/>
      <c r="G32" s="94"/>
      <c r="H32" s="94"/>
      <c r="I32" s="93"/>
      <c r="J32" s="101"/>
      <c r="K32" s="101"/>
      <c r="L32" s="99"/>
      <c r="M32" s="99"/>
      <c r="N32" s="99"/>
      <c r="O32" s="99"/>
      <c r="P32" s="101"/>
      <c r="Q32" s="99"/>
      <c r="R32" s="99"/>
      <c r="S32" s="99"/>
      <c r="T32" s="99"/>
      <c r="U32" s="99"/>
      <c r="V32" s="99"/>
      <c r="W32" s="99"/>
      <c r="X32" s="99"/>
    </row>
    <row r="33" spans="1:24" s="91" customFormat="1" x14ac:dyDescent="0.25">
      <c r="A33" s="7" t="s">
        <v>55</v>
      </c>
      <c r="B33" s="88" t="s">
        <v>291</v>
      </c>
      <c r="C33" s="97"/>
      <c r="D33" s="110">
        <f>SUM('FTES COLA Allocation'!C24:C25)</f>
        <v>0</v>
      </c>
      <c r="E33" s="110">
        <f>SUM('FTES COLA Allocation'!D24:D25)</f>
        <v>0</v>
      </c>
      <c r="F33" s="110">
        <f>SUM('FTES COLA Allocation'!E24:E25)</f>
        <v>0</v>
      </c>
      <c r="G33" s="97"/>
      <c r="H33" s="97"/>
      <c r="I33" s="105">
        <f>SUM(C33:H33)</f>
        <v>0</v>
      </c>
      <c r="J33" s="101"/>
      <c r="K33" s="101"/>
      <c r="L33" s="99"/>
      <c r="M33" s="99"/>
      <c r="N33" s="99"/>
      <c r="O33" s="99"/>
      <c r="P33" s="101"/>
      <c r="Q33" s="99"/>
      <c r="R33" s="99"/>
      <c r="S33" s="99"/>
      <c r="T33" s="99"/>
      <c r="U33" s="99"/>
      <c r="V33" s="99"/>
      <c r="W33" s="99"/>
      <c r="X33" s="99"/>
    </row>
    <row r="34" spans="1:24" s="91" customFormat="1" x14ac:dyDescent="0.25">
      <c r="A34" s="212"/>
      <c r="B34" s="98"/>
      <c r="C34" s="97"/>
      <c r="D34" s="94"/>
      <c r="E34" s="94"/>
      <c r="F34" s="94"/>
      <c r="G34" s="94"/>
      <c r="H34" s="94"/>
      <c r="I34" s="93"/>
      <c r="J34" s="101"/>
      <c r="K34" s="101"/>
      <c r="L34" s="99"/>
      <c r="M34" s="99"/>
      <c r="N34" s="99"/>
      <c r="O34" s="99"/>
      <c r="P34" s="101"/>
      <c r="Q34" s="99"/>
      <c r="R34" s="99"/>
      <c r="S34" s="99"/>
      <c r="T34" s="99"/>
      <c r="U34" s="99"/>
      <c r="V34" s="99"/>
      <c r="W34" s="99"/>
      <c r="X34" s="99"/>
    </row>
    <row r="35" spans="1:24" s="91" customFormat="1" x14ac:dyDescent="0.25">
      <c r="A35" s="7" t="s">
        <v>56</v>
      </c>
      <c r="B35" s="88" t="s">
        <v>28</v>
      </c>
      <c r="C35" s="97"/>
      <c r="D35" s="110">
        <f>+'FTES Growth Allocations'!B29</f>
        <v>0</v>
      </c>
      <c r="E35" s="110">
        <f>+'FTES Growth Allocations'!C29</f>
        <v>0</v>
      </c>
      <c r="F35" s="110">
        <f>+'FTES Growth Allocations'!D29</f>
        <v>0</v>
      </c>
      <c r="G35" s="97"/>
      <c r="H35" s="97"/>
      <c r="I35" s="105">
        <f>SUM(D35:H35)</f>
        <v>0</v>
      </c>
      <c r="J35" s="101"/>
      <c r="K35" s="101"/>
      <c r="L35" s="99"/>
      <c r="M35" s="99"/>
      <c r="N35" s="99"/>
      <c r="Q35" s="99"/>
      <c r="R35" s="99"/>
      <c r="S35" s="99"/>
      <c r="T35" s="99"/>
      <c r="U35" s="99"/>
      <c r="V35" s="99"/>
      <c r="W35" s="99"/>
      <c r="X35" s="99"/>
    </row>
    <row r="36" spans="1:24" s="91" customFormat="1" x14ac:dyDescent="0.25">
      <c r="A36" s="212"/>
      <c r="B36" s="98"/>
      <c r="C36" s="97"/>
      <c r="D36" s="94"/>
      <c r="E36" s="94"/>
      <c r="F36" s="94"/>
      <c r="G36" s="94"/>
      <c r="H36" s="94"/>
      <c r="I36" s="93"/>
      <c r="J36" s="101"/>
      <c r="K36" s="101"/>
      <c r="L36" s="99"/>
      <c r="M36" s="99"/>
      <c r="N36" s="99"/>
      <c r="O36" s="99"/>
      <c r="P36" s="101"/>
      <c r="Q36" s="99"/>
      <c r="R36" s="99"/>
      <c r="S36" s="99"/>
      <c r="T36" s="99"/>
      <c r="U36" s="99"/>
      <c r="V36" s="99"/>
      <c r="W36" s="99"/>
      <c r="X36" s="99"/>
    </row>
    <row r="37" spans="1:24" s="91" customFormat="1" x14ac:dyDescent="0.25">
      <c r="A37" s="7" t="s">
        <v>57</v>
      </c>
      <c r="B37" s="88" t="s">
        <v>92</v>
      </c>
      <c r="C37" s="97"/>
      <c r="D37" s="110">
        <f>+'FTES Decline Mechanism'!B30</f>
        <v>0</v>
      </c>
      <c r="E37" s="110">
        <f>+'FTES Decline Mechanism'!C30</f>
        <v>0</v>
      </c>
      <c r="F37" s="110">
        <f>+'FTES Decline Mechanism'!D30</f>
        <v>0</v>
      </c>
      <c r="G37" s="97"/>
      <c r="H37" s="97"/>
      <c r="I37" s="105">
        <f>SUM(D37:H37)</f>
        <v>0</v>
      </c>
      <c r="J37" s="101"/>
      <c r="K37" s="101"/>
      <c r="L37" s="99"/>
      <c r="M37" s="99"/>
      <c r="N37" s="99"/>
      <c r="O37" s="99"/>
      <c r="P37" s="101"/>
      <c r="Q37" s="99"/>
      <c r="R37" s="99"/>
      <c r="S37" s="99"/>
      <c r="T37" s="99"/>
      <c r="U37" s="99"/>
      <c r="V37" s="99"/>
      <c r="W37" s="99"/>
      <c r="X37" s="99"/>
    </row>
    <row r="38" spans="1:24" s="99" customFormat="1" ht="18.75" thickBot="1" x14ac:dyDescent="0.3">
      <c r="A38" s="7" t="s">
        <v>57</v>
      </c>
      <c r="B38" s="98" t="s">
        <v>119</v>
      </c>
      <c r="C38" s="97"/>
      <c r="D38" s="99">
        <f>IF('FTES Decline Mechanism'!B37&lt;0,0,+'FTES Decline Mechanism'!B37)</f>
        <v>0</v>
      </c>
      <c r="E38" s="99">
        <f>IF('FTES Decline Mechanism'!C37&lt;0,0,+'FTES Decline Mechanism'!C37)</f>
        <v>0</v>
      </c>
      <c r="F38" s="99">
        <f>IF('FTES Decline Mechanism'!D37&lt;0,0,+'FTES Decline Mechanism'!D37)</f>
        <v>0</v>
      </c>
      <c r="G38" s="94"/>
      <c r="H38" s="124">
        <f>IF('FTES Decline Mechanism'!B43="Yes",0,-SUM('Summary Allocations'!D38:F38))</f>
        <v>0</v>
      </c>
      <c r="I38" s="98">
        <f>SUM(D38:H38)</f>
        <v>0</v>
      </c>
      <c r="J38" s="101"/>
      <c r="K38" s="101"/>
    </row>
    <row r="39" spans="1:24" s="99" customFormat="1" x14ac:dyDescent="0.25">
      <c r="A39" s="212"/>
      <c r="B39" s="98"/>
      <c r="C39" s="97"/>
      <c r="D39" s="94"/>
      <c r="E39" s="94"/>
      <c r="F39" s="94"/>
      <c r="G39" s="94"/>
      <c r="H39" s="94"/>
      <c r="I39" s="93"/>
      <c r="J39" s="101"/>
      <c r="K39" s="101"/>
    </row>
    <row r="40" spans="1:24" s="99" customFormat="1" x14ac:dyDescent="0.25">
      <c r="A40" s="212" t="s">
        <v>58</v>
      </c>
      <c r="B40" s="98" t="s">
        <v>165</v>
      </c>
      <c r="C40" s="97"/>
      <c r="D40" s="99">
        <f>+'Deficit Adj'!C23</f>
        <v>0</v>
      </c>
      <c r="E40" s="99">
        <f>+'Deficit Adj'!D23</f>
        <v>0</v>
      </c>
      <c r="F40" s="99">
        <f>+'Deficit Adj'!E23</f>
        <v>0</v>
      </c>
      <c r="G40" s="94"/>
      <c r="H40" s="94"/>
      <c r="I40" s="98">
        <f>SUM(D40:H40)</f>
        <v>0</v>
      </c>
      <c r="J40" s="101"/>
      <c r="K40" s="101"/>
      <c r="O40" s="327"/>
    </row>
    <row r="41" spans="1:24" s="99" customFormat="1" x14ac:dyDescent="0.25">
      <c r="A41" s="212"/>
      <c r="B41" s="98"/>
      <c r="C41" s="97"/>
      <c r="D41" s="94"/>
      <c r="E41" s="94"/>
      <c r="F41" s="94"/>
      <c r="G41" s="94"/>
      <c r="H41" s="94"/>
      <c r="I41" s="93"/>
      <c r="J41" s="101"/>
      <c r="K41" s="101"/>
    </row>
    <row r="42" spans="1:24" s="91" customFormat="1" x14ac:dyDescent="0.25">
      <c r="A42" s="7" t="s">
        <v>60</v>
      </c>
      <c r="B42" s="88" t="s">
        <v>79</v>
      </c>
      <c r="C42" s="97"/>
      <c r="D42" s="110">
        <f>+'Other Income  Inc -Decline '!C30+'Other Income  Inc -Decline '!C31</f>
        <v>436559.43631156633</v>
      </c>
      <c r="E42" s="110">
        <f>+'Other Income  Inc -Decline '!D30+'Other Income  Inc -Decline '!D31</f>
        <v>80057.195942708655</v>
      </c>
      <c r="F42" s="110">
        <f>+'Other Income  Inc -Decline '!E30+'Other Income  Inc -Decline '!E31</f>
        <v>83520.192659589797</v>
      </c>
      <c r="G42" s="97"/>
      <c r="H42" s="97"/>
      <c r="I42" s="105">
        <f>SUM(D42:H42)</f>
        <v>600136.82491386472</v>
      </c>
      <c r="J42" s="101"/>
      <c r="K42" s="101"/>
      <c r="L42" s="99"/>
      <c r="M42" s="99"/>
      <c r="N42" s="99"/>
      <c r="Q42" s="99"/>
      <c r="R42" s="99"/>
      <c r="S42" s="99"/>
      <c r="T42" s="99"/>
      <c r="U42" s="99"/>
      <c r="V42" s="99"/>
      <c r="W42" s="99"/>
      <c r="X42" s="99"/>
    </row>
    <row r="43" spans="1:24" s="91" customFormat="1" ht="20.25" customHeight="1" thickBot="1" x14ac:dyDescent="0.3">
      <c r="A43" s="7" t="s">
        <v>60</v>
      </c>
      <c r="B43" s="88" t="s">
        <v>86</v>
      </c>
      <c r="C43" s="97"/>
      <c r="D43" s="110">
        <f>+'Other Income  Inc -Decline '!C39</f>
        <v>0</v>
      </c>
      <c r="E43" s="110">
        <v>0</v>
      </c>
      <c r="F43" s="110">
        <f>+'Other Income  Inc -Decline '!E39</f>
        <v>0</v>
      </c>
      <c r="G43" s="97"/>
      <c r="H43" s="101">
        <v>0</v>
      </c>
      <c r="I43" s="95">
        <f>SUM(D43:H43)</f>
        <v>0</v>
      </c>
      <c r="J43" s="101"/>
      <c r="K43" s="101"/>
      <c r="L43" s="99"/>
      <c r="M43" s="99"/>
      <c r="N43" s="99"/>
      <c r="O43" s="316"/>
      <c r="T43" s="99"/>
      <c r="U43" s="99"/>
      <c r="V43" s="99"/>
      <c r="W43" s="99"/>
      <c r="X43" s="99"/>
    </row>
    <row r="44" spans="1:24" s="88" customFormat="1" ht="29.65" customHeight="1" thickBot="1" x14ac:dyDescent="0.35">
      <c r="A44" s="259"/>
      <c r="B44" s="282" t="s">
        <v>81</v>
      </c>
      <c r="C44" s="104"/>
      <c r="D44" s="104">
        <f t="shared" ref="D44:I44" si="3">SUM(D28:D43)</f>
        <v>107309748.67060067</v>
      </c>
      <c r="E44" s="104">
        <f t="shared" si="3"/>
        <v>20556434.98327703</v>
      </c>
      <c r="F44" s="104">
        <f t="shared" si="3"/>
        <v>20313010.062692832</v>
      </c>
      <c r="G44" s="104">
        <f t="shared" si="3"/>
        <v>0</v>
      </c>
      <c r="H44" s="104">
        <f t="shared" si="3"/>
        <v>0</v>
      </c>
      <c r="I44" s="104">
        <f t="shared" si="3"/>
        <v>148179193.71657053</v>
      </c>
      <c r="J44" s="105"/>
      <c r="K44" s="234"/>
      <c r="L44" s="98"/>
      <c r="M44" s="98">
        <f>+I44+I25</f>
        <v>165372581.60657054</v>
      </c>
      <c r="N44" s="98"/>
      <c r="O44" s="98">
        <f>+I44+I25</f>
        <v>165372581.60657054</v>
      </c>
      <c r="P44" s="98">
        <f>+'Income to be Allocated'!B22</f>
        <v>165372581.97000003</v>
      </c>
      <c r="Q44" s="98">
        <f>+O44-P44</f>
        <v>-0.3634294867515564</v>
      </c>
      <c r="R44" s="98"/>
      <c r="S44" s="98"/>
      <c r="T44" s="98"/>
      <c r="U44" s="98"/>
      <c r="V44" s="98"/>
      <c r="W44" s="98"/>
      <c r="X44" s="98"/>
    </row>
    <row r="45" spans="1:24" s="91" customFormat="1" x14ac:dyDescent="0.25">
      <c r="A45" s="7"/>
      <c r="C45" s="97"/>
      <c r="D45" s="97"/>
      <c r="E45" s="97"/>
      <c r="F45" s="97"/>
      <c r="G45" s="97"/>
      <c r="H45" s="97"/>
      <c r="I45" s="96"/>
      <c r="J45" s="101"/>
      <c r="K45" s="101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</row>
    <row r="46" spans="1:24" s="91" customFormat="1" x14ac:dyDescent="0.25">
      <c r="A46" s="267" t="s">
        <v>65</v>
      </c>
      <c r="B46" s="88" t="s">
        <v>85</v>
      </c>
      <c r="C46" s="97"/>
      <c r="D46" s="97"/>
      <c r="E46" s="97"/>
      <c r="F46" s="97"/>
      <c r="G46" s="97"/>
      <c r="H46" s="101">
        <f>+H12</f>
        <v>29921197.449999999</v>
      </c>
      <c r="I46" s="95">
        <f>+H46</f>
        <v>29921197.449999999</v>
      </c>
      <c r="J46" s="101"/>
      <c r="K46" s="101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</row>
    <row r="47" spans="1:24" s="91" customFormat="1" x14ac:dyDescent="0.25">
      <c r="A47" s="267" t="s">
        <v>58</v>
      </c>
      <c r="B47" s="105" t="s">
        <v>135</v>
      </c>
      <c r="C47" s="97"/>
      <c r="D47" s="97"/>
      <c r="E47" s="97"/>
      <c r="F47" s="97"/>
      <c r="G47" s="97"/>
      <c r="H47" s="101">
        <v>0</v>
      </c>
      <c r="I47" s="95"/>
      <c r="J47" s="101"/>
      <c r="K47" s="101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</row>
    <row r="48" spans="1:24" s="101" customFormat="1" x14ac:dyDescent="0.25">
      <c r="A48" s="267" t="s">
        <v>65</v>
      </c>
      <c r="B48" s="105" t="s">
        <v>136</v>
      </c>
      <c r="C48" s="97"/>
      <c r="D48" s="101">
        <v>0</v>
      </c>
      <c r="E48" s="101">
        <v>0</v>
      </c>
      <c r="F48" s="101">
        <v>0</v>
      </c>
      <c r="G48" s="101">
        <f>-'District Costs'!F5</f>
        <v>1538150</v>
      </c>
      <c r="H48" s="101">
        <f>-SUM(D48:G48)</f>
        <v>-1538150</v>
      </c>
      <c r="I48" s="95">
        <f>SUM(C48:H48)</f>
        <v>0</v>
      </c>
    </row>
    <row r="49" spans="1:24" s="101" customFormat="1" x14ac:dyDescent="0.25">
      <c r="A49" s="267"/>
      <c r="B49" s="105"/>
      <c r="C49" s="97"/>
      <c r="D49" s="97"/>
      <c r="E49" s="97"/>
      <c r="F49" s="97"/>
      <c r="G49" s="97"/>
      <c r="H49" s="97"/>
      <c r="I49" s="97"/>
    </row>
    <row r="50" spans="1:24" s="99" customFormat="1" x14ac:dyDescent="0.25">
      <c r="A50" s="212" t="s">
        <v>167</v>
      </c>
      <c r="B50" s="100" t="s">
        <v>258</v>
      </c>
      <c r="C50" s="97"/>
      <c r="D50" s="101">
        <v>0</v>
      </c>
      <c r="E50" s="101">
        <v>0</v>
      </c>
      <c r="F50" s="101">
        <v>0</v>
      </c>
      <c r="G50" s="101">
        <v>0</v>
      </c>
      <c r="H50" s="101">
        <f>SUM(D50:G50)*-1</f>
        <v>0</v>
      </c>
      <c r="I50" s="95">
        <f>SUM(C50:H50)</f>
        <v>0</v>
      </c>
      <c r="J50" s="101"/>
      <c r="K50" s="101"/>
    </row>
    <row r="51" spans="1:24" s="101" customFormat="1" x14ac:dyDescent="0.25">
      <c r="A51" s="267"/>
      <c r="B51" s="105"/>
      <c r="C51" s="97"/>
      <c r="D51" s="97"/>
      <c r="E51" s="97"/>
      <c r="F51" s="97"/>
      <c r="G51" s="97"/>
      <c r="H51" s="97"/>
      <c r="I51" s="97"/>
    </row>
    <row r="52" spans="1:24" s="101" customFormat="1" x14ac:dyDescent="0.25">
      <c r="A52" s="267" t="s">
        <v>168</v>
      </c>
      <c r="B52" s="105" t="s">
        <v>97</v>
      </c>
      <c r="C52" s="97"/>
      <c r="D52" s="101">
        <v>0</v>
      </c>
      <c r="E52" s="101">
        <v>0</v>
      </c>
      <c r="F52" s="101">
        <v>0</v>
      </c>
      <c r="G52" s="97"/>
      <c r="H52" s="97"/>
      <c r="I52" s="95">
        <f>SUM(C52:H52)</f>
        <v>0</v>
      </c>
    </row>
    <row r="53" spans="1:24" s="101" customFormat="1" x14ac:dyDescent="0.25">
      <c r="A53" s="267" t="s">
        <v>168</v>
      </c>
      <c r="B53" s="105" t="s">
        <v>132</v>
      </c>
      <c r="C53" s="97"/>
      <c r="D53" s="101">
        <f>-'District Costs'!$C$13*('FTES Growth Allocations'!B21+'FTES Growth Allocations'!B25)</f>
        <v>-21730015.445848938</v>
      </c>
      <c r="E53" s="101">
        <f>-'District Costs'!$C$13*('FTES Growth Allocations'!C21+'FTES Growth Allocations'!C25)</f>
        <v>-3961904.7383809085</v>
      </c>
      <c r="F53" s="101">
        <f>-'District Costs'!$C$13*('FTES Growth Allocations'!D21+'FTES Growth Allocations'!D25)</f>
        <v>-4171137.3978479779</v>
      </c>
      <c r="G53" s="101">
        <f>+'District Costs'!E5+'District Costs'!F5</f>
        <v>29863057.582077824</v>
      </c>
      <c r="H53" s="97"/>
      <c r="I53" s="95">
        <f>SUM(C53:H53)</f>
        <v>0</v>
      </c>
    </row>
    <row r="54" spans="1:24" s="101" customFormat="1" ht="18.75" thickBot="1" x14ac:dyDescent="0.3">
      <c r="A54" s="267" t="s">
        <v>168</v>
      </c>
      <c r="B54" s="105" t="s">
        <v>98</v>
      </c>
      <c r="C54" s="97"/>
      <c r="D54" s="101">
        <f>-'District Costs'!$C$14*('FTES Growth Allocations'!B21+'FTES Growth Allocations'!B25)</f>
        <v>0</v>
      </c>
      <c r="E54" s="101">
        <f>-'District Costs'!$C$14*('FTES Growth Allocations'!C21+'FTES Growth Allocations'!C25)</f>
        <v>0</v>
      </c>
      <c r="F54" s="101">
        <f>-'District Costs'!$C$14*('FTES Growth Allocations'!D21+'FTES Growth Allocations'!D25)</f>
        <v>0</v>
      </c>
      <c r="G54" s="97"/>
      <c r="H54" s="97"/>
      <c r="I54" s="95">
        <f>SUM(C54:H54)</f>
        <v>0</v>
      </c>
    </row>
    <row r="55" spans="1:24" s="105" customFormat="1" ht="21" thickBot="1" x14ac:dyDescent="0.35">
      <c r="A55" s="259"/>
      <c r="B55" s="282" t="s">
        <v>174</v>
      </c>
      <c r="C55" s="104"/>
      <c r="D55" s="104">
        <f>SUM(D52:D54)</f>
        <v>-21730015.445848938</v>
      </c>
      <c r="E55" s="104">
        <f>SUM(E52:E54)</f>
        <v>-3961904.7383809085</v>
      </c>
      <c r="F55" s="104">
        <f>SUM(F52:F54)</f>
        <v>-4171137.3978479779</v>
      </c>
      <c r="G55" s="104">
        <f>SUM(G52:G54)</f>
        <v>29863057.582077824</v>
      </c>
      <c r="H55" s="104">
        <f>SUM(H52:H54)</f>
        <v>0</v>
      </c>
      <c r="I55" s="104">
        <f>SUM(I46:I54)</f>
        <v>29921197.449999999</v>
      </c>
      <c r="J55" s="101"/>
      <c r="K55" s="101"/>
    </row>
    <row r="56" spans="1:24" s="101" customFormat="1" ht="18.75" thickBot="1" x14ac:dyDescent="0.3">
      <c r="A56" s="267"/>
      <c r="C56" s="97"/>
      <c r="D56" s="97"/>
      <c r="E56" s="97"/>
      <c r="F56" s="97"/>
      <c r="G56" s="97"/>
      <c r="H56" s="233"/>
      <c r="I56" s="96"/>
    </row>
    <row r="57" spans="1:24" s="105" customFormat="1" ht="32.25" customHeight="1" thickBot="1" x14ac:dyDescent="0.35">
      <c r="A57" s="259"/>
      <c r="B57" s="282" t="s">
        <v>84</v>
      </c>
      <c r="C57" s="104"/>
      <c r="D57" s="104">
        <f>+D25+D44+D55+D50+D48</f>
        <v>92996489.444751725</v>
      </c>
      <c r="E57" s="104">
        <f>+E25+E44+E55+E50+E48</f>
        <v>22325659.634896122</v>
      </c>
      <c r="F57" s="104">
        <f>+F25+F44+F55+F50+F48</f>
        <v>20187374.944844857</v>
      </c>
      <c r="G57" s="104">
        <f>+G25+G44+G55+G50+G48</f>
        <v>31401207.582077824</v>
      </c>
      <c r="H57" s="104">
        <f>SUM(H44:H51)</f>
        <v>28383047.449999999</v>
      </c>
      <c r="I57" s="104">
        <f>+I25+I44+I55+I50</f>
        <v>195293779.05657053</v>
      </c>
      <c r="J57" s="101">
        <f>SUM(D57:H57)</f>
        <v>195293779.0565705</v>
      </c>
    </row>
    <row r="58" spans="1:24" s="101" customFormat="1" ht="24" hidden="1" customHeight="1" x14ac:dyDescent="0.25">
      <c r="A58" s="428"/>
      <c r="B58" s="428"/>
      <c r="C58" s="97"/>
      <c r="D58" s="97"/>
      <c r="E58" s="97"/>
      <c r="F58" s="97"/>
      <c r="G58" s="97"/>
      <c r="H58" s="97"/>
      <c r="I58" s="96"/>
    </row>
    <row r="59" spans="1:24" s="88" customFormat="1" hidden="1" x14ac:dyDescent="0.25">
      <c r="A59" s="429"/>
      <c r="B59" s="429"/>
      <c r="C59" s="97"/>
      <c r="I59" s="88">
        <f>SUM(D59:H59)</f>
        <v>0</v>
      </c>
      <c r="J59" s="105"/>
      <c r="K59" s="105"/>
      <c r="L59" s="98"/>
      <c r="M59" s="98"/>
      <c r="N59" s="98"/>
      <c r="O59" s="98">
        <f>SUM(D59:G59)</f>
        <v>0</v>
      </c>
      <c r="P59" s="98"/>
      <c r="Q59" s="98"/>
      <c r="R59" s="98"/>
      <c r="S59" s="98"/>
      <c r="T59" s="98"/>
      <c r="U59" s="98"/>
      <c r="V59" s="98"/>
      <c r="W59" s="98"/>
      <c r="X59" s="98"/>
    </row>
    <row r="60" spans="1:24" s="91" customFormat="1" ht="18.75" hidden="1" thickBot="1" x14ac:dyDescent="0.3">
      <c r="A60" s="7"/>
      <c r="C60" s="97"/>
      <c r="D60" s="94"/>
      <c r="E60" s="94"/>
      <c r="F60" s="94"/>
      <c r="G60" s="94"/>
      <c r="H60" s="94"/>
      <c r="I60" s="93"/>
      <c r="J60" s="101"/>
      <c r="K60" s="101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</row>
    <row r="61" spans="1:24" s="108" customFormat="1" ht="25.5" hidden="1" customHeight="1" thickBot="1" x14ac:dyDescent="0.3">
      <c r="A61" s="276"/>
      <c r="B61" s="277"/>
      <c r="C61" s="278"/>
      <c r="D61" s="279">
        <f t="shared" ref="D61:I61" si="4">+D57-D59</f>
        <v>92996489.444751725</v>
      </c>
      <c r="E61" s="279">
        <f t="shared" si="4"/>
        <v>22325659.634896122</v>
      </c>
      <c r="F61" s="279">
        <f t="shared" si="4"/>
        <v>20187374.944844857</v>
      </c>
      <c r="G61" s="279">
        <f t="shared" si="4"/>
        <v>31401207.582077824</v>
      </c>
      <c r="H61" s="279">
        <f t="shared" si="4"/>
        <v>28383047.449999999</v>
      </c>
      <c r="I61" s="279">
        <f t="shared" si="4"/>
        <v>195293779.05657053</v>
      </c>
      <c r="J61" s="232"/>
      <c r="K61" s="137"/>
      <c r="L61" s="135"/>
      <c r="M61" s="135"/>
      <c r="N61" s="135"/>
      <c r="O61" s="135"/>
      <c r="P61" s="135"/>
      <c r="Q61" s="99"/>
      <c r="R61" s="135"/>
      <c r="S61" s="135"/>
      <c r="T61" s="135"/>
      <c r="U61" s="135"/>
      <c r="V61" s="135"/>
      <c r="W61" s="135"/>
      <c r="X61" s="135"/>
    </row>
    <row r="62" spans="1:24" s="135" customFormat="1" x14ac:dyDescent="0.25">
      <c r="A62" s="428" t="s">
        <v>317</v>
      </c>
      <c r="B62" s="428"/>
      <c r="C62" s="97"/>
      <c r="D62" s="97"/>
      <c r="E62" s="97"/>
      <c r="F62" s="97"/>
      <c r="G62" s="97"/>
      <c r="H62" s="97"/>
      <c r="I62" s="96"/>
    </row>
    <row r="63" spans="1:24" s="88" customFormat="1" x14ac:dyDescent="0.25">
      <c r="A63" s="429"/>
      <c r="B63" s="429"/>
      <c r="C63" s="97"/>
      <c r="D63" s="88">
        <f>+'[1]Summary Allocations'!$D$57</f>
        <v>88385547.511304647</v>
      </c>
      <c r="E63" s="88">
        <f>+'[1]Summary Allocations'!$E$57</f>
        <v>21292874.345346555</v>
      </c>
      <c r="F63" s="88">
        <f>+'[1]Summary Allocations'!$F$57</f>
        <v>19423270.09317999</v>
      </c>
      <c r="G63" s="88">
        <f>+'[1]Summary Allocations'!$G$57</f>
        <v>30260112</v>
      </c>
      <c r="H63" s="88">
        <f>+'[1]Summary Allocations'!$H$57</f>
        <v>20585678.120000001</v>
      </c>
      <c r="I63" s="88">
        <f>SUM(D63:H63)</f>
        <v>179947482.06983119</v>
      </c>
      <c r="J63" s="105"/>
      <c r="K63" s="105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</row>
    <row r="64" spans="1:24" s="135" customFormat="1" ht="18.75" thickBot="1" x14ac:dyDescent="0.3">
      <c r="A64" s="268"/>
      <c r="B64" s="136"/>
      <c r="C64" s="97"/>
      <c r="D64" s="180"/>
      <c r="E64" s="180"/>
      <c r="F64" s="180"/>
      <c r="G64" s="181"/>
      <c r="H64" s="181"/>
      <c r="I64" s="181"/>
    </row>
    <row r="65" spans="1:24" s="108" customFormat="1" ht="29.25" customHeight="1" thickBot="1" x14ac:dyDescent="0.3">
      <c r="A65" s="276"/>
      <c r="B65" s="277" t="s">
        <v>335</v>
      </c>
      <c r="C65" s="278"/>
      <c r="D65" s="279">
        <f t="shared" ref="D65:I65" si="5">+D57-D63</f>
        <v>4610941.9334470779</v>
      </c>
      <c r="E65" s="279">
        <f t="shared" si="5"/>
        <v>1032785.2895495668</v>
      </c>
      <c r="F65" s="279">
        <f t="shared" si="5"/>
        <v>764104.85166486725</v>
      </c>
      <c r="G65" s="279">
        <f t="shared" si="5"/>
        <v>1141095.5820778236</v>
      </c>
      <c r="H65" s="279">
        <f t="shared" si="5"/>
        <v>7797369.3299999982</v>
      </c>
      <c r="I65" s="279">
        <f t="shared" si="5"/>
        <v>15346296.986739337</v>
      </c>
      <c r="J65" s="98"/>
      <c r="K65" s="135"/>
      <c r="L65" s="135"/>
      <c r="M65" s="135"/>
      <c r="N65" s="135"/>
      <c r="O65" s="387"/>
      <c r="P65" s="135"/>
      <c r="Q65" s="135"/>
      <c r="R65" s="135"/>
      <c r="S65" s="135"/>
      <c r="T65" s="135"/>
      <c r="U65" s="135"/>
      <c r="V65" s="135"/>
      <c r="W65" s="135"/>
      <c r="X65" s="135"/>
    </row>
    <row r="66" spans="1:24" s="135" customFormat="1" ht="18.75" thickBot="1" x14ac:dyDescent="0.3">
      <c r="A66" s="276"/>
      <c r="B66" s="277" t="s">
        <v>283</v>
      </c>
      <c r="C66" s="278"/>
      <c r="D66" s="395">
        <f>+D65/D57</f>
        <v>4.9581892402362049E-2</v>
      </c>
      <c r="E66" s="395">
        <f t="shared" ref="E66:G66" si="6">+E65/E57</f>
        <v>4.6260012310465927E-2</v>
      </c>
      <c r="F66" s="395">
        <f t="shared" si="6"/>
        <v>3.7850629601546719E-2</v>
      </c>
      <c r="G66" s="395">
        <f t="shared" si="6"/>
        <v>3.633922609807852E-2</v>
      </c>
      <c r="H66" s="395">
        <f t="shared" ref="H66" si="7">+H65/H57</f>
        <v>0.27471924372236495</v>
      </c>
      <c r="I66" s="395">
        <f t="shared" ref="I66" si="8">+I65/I57</f>
        <v>7.858057261667302E-2</v>
      </c>
      <c r="J66" s="98"/>
    </row>
    <row r="67" spans="1:24" s="108" customFormat="1" x14ac:dyDescent="0.25">
      <c r="A67" s="394"/>
      <c r="B67" s="390"/>
      <c r="C67" s="391"/>
      <c r="D67" s="392"/>
      <c r="E67" s="392"/>
      <c r="F67" s="392"/>
      <c r="G67" s="392"/>
      <c r="H67" s="393"/>
      <c r="I67" s="389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</row>
    <row r="68" spans="1:24" s="108" customFormat="1" x14ac:dyDescent="0.25">
      <c r="A68" s="269"/>
      <c r="B68" s="128"/>
      <c r="C68" s="129"/>
      <c r="D68" s="130"/>
      <c r="E68" s="130"/>
      <c r="F68" s="130"/>
      <c r="G68" s="130"/>
      <c r="H68" s="131"/>
      <c r="I68" s="130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</row>
    <row r="69" spans="1:24" s="108" customFormat="1" x14ac:dyDescent="0.25">
      <c r="A69" s="269"/>
      <c r="B69" s="128"/>
      <c r="C69" s="129"/>
      <c r="D69" s="130"/>
      <c r="E69" s="130"/>
      <c r="F69" s="130"/>
      <c r="G69" s="130"/>
      <c r="H69" s="131"/>
      <c r="I69" s="130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</row>
    <row r="70" spans="1:24" s="108" customFormat="1" ht="37.5" customHeight="1" x14ac:dyDescent="0.3">
      <c r="A70" s="283"/>
      <c r="B70" s="284" t="s">
        <v>198</v>
      </c>
      <c r="C70" s="285"/>
      <c r="D70" s="285"/>
      <c r="E70" s="285"/>
      <c r="F70" s="285"/>
      <c r="G70" s="285"/>
      <c r="H70" s="286"/>
      <c r="I70" s="287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</row>
    <row r="71" spans="1:24" s="108" customFormat="1" ht="37.5" customHeight="1" x14ac:dyDescent="0.25">
      <c r="A71" s="270"/>
      <c r="B71" s="143" t="s">
        <v>197</v>
      </c>
      <c r="C71" s="125"/>
      <c r="D71" s="125">
        <f>+D57-D38</f>
        <v>92996489.444751725</v>
      </c>
      <c r="E71" s="125">
        <f>+E57-E38</f>
        <v>22325659.634896122</v>
      </c>
      <c r="F71" s="125">
        <f>+F57-F38</f>
        <v>20187374.944844857</v>
      </c>
      <c r="G71" s="125">
        <f>+G55</f>
        <v>29863057.582077824</v>
      </c>
      <c r="H71" s="125">
        <f>+H50</f>
        <v>0</v>
      </c>
      <c r="I71" s="126">
        <f t="shared" ref="I71:I76" si="9">SUM(D71:H71)</f>
        <v>165372581.60657051</v>
      </c>
      <c r="J71" s="135">
        <f>+I71+I72</f>
        <v>195293779.0565705</v>
      </c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</row>
    <row r="72" spans="1:24" s="108" customFormat="1" ht="26.65" customHeight="1" x14ac:dyDescent="0.25">
      <c r="A72" s="270"/>
      <c r="B72" s="143" t="s">
        <v>196</v>
      </c>
      <c r="C72" s="125"/>
      <c r="D72" s="341">
        <f>+D38</f>
        <v>0</v>
      </c>
      <c r="E72" s="341">
        <f>+E38</f>
        <v>0</v>
      </c>
      <c r="F72" s="341">
        <f>+F38</f>
        <v>0</v>
      </c>
      <c r="G72" s="125">
        <f>+G48</f>
        <v>1538150</v>
      </c>
      <c r="H72" s="125">
        <f>+H46+H48+H44+H25</f>
        <v>28383047.449999999</v>
      </c>
      <c r="I72" s="178">
        <f t="shared" si="9"/>
        <v>29921197.449999999</v>
      </c>
      <c r="J72" s="135"/>
      <c r="K72" s="135"/>
      <c r="L72" s="135"/>
      <c r="M72" s="264"/>
      <c r="N72" s="135"/>
      <c r="O72" s="264">
        <f>+I72+I71</f>
        <v>195293779.0565705</v>
      </c>
      <c r="P72" s="99"/>
      <c r="Q72" s="264"/>
      <c r="R72" s="135"/>
      <c r="S72" s="135"/>
      <c r="T72" s="135"/>
      <c r="U72" s="135"/>
      <c r="V72" s="135"/>
      <c r="W72" s="135"/>
      <c r="X72" s="135"/>
    </row>
    <row r="73" spans="1:24" s="108" customFormat="1" ht="24.75" customHeight="1" x14ac:dyDescent="0.25">
      <c r="A73" s="270"/>
      <c r="B73" s="127" t="s">
        <v>195</v>
      </c>
      <c r="C73" s="125"/>
      <c r="D73" s="127">
        <f>+D6</f>
        <v>0</v>
      </c>
      <c r="E73" s="127">
        <f>+E6</f>
        <v>0</v>
      </c>
      <c r="F73" s="127">
        <f>+F6</f>
        <v>0</v>
      </c>
      <c r="G73" s="127">
        <f>+G6</f>
        <v>0</v>
      </c>
      <c r="H73" s="177">
        <f>+H6</f>
        <v>0</v>
      </c>
      <c r="I73" s="178">
        <f t="shared" si="9"/>
        <v>0</v>
      </c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</row>
    <row r="74" spans="1:24" s="88" customFormat="1" ht="28.5" customHeight="1" x14ac:dyDescent="0.25">
      <c r="A74" s="271"/>
      <c r="B74" s="127" t="s">
        <v>194</v>
      </c>
      <c r="C74" s="127"/>
      <c r="D74" s="127">
        <f>+D7</f>
        <v>21922431.359737903</v>
      </c>
      <c r="E74" s="127">
        <f>+E7</f>
        <v>4398817.4603075702</v>
      </c>
      <c r="F74" s="127">
        <f>+F7</f>
        <v>7286415.5200230349</v>
      </c>
      <c r="G74" s="127">
        <v>0</v>
      </c>
      <c r="H74" s="127">
        <v>0</v>
      </c>
      <c r="I74" s="178">
        <f t="shared" si="9"/>
        <v>33607664.340068504</v>
      </c>
      <c r="J74" s="98"/>
      <c r="K74" s="98"/>
      <c r="L74" s="98"/>
      <c r="M74" s="98">
        <f>SUM(I71:I74)</f>
        <v>228901443.39663899</v>
      </c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</row>
    <row r="75" spans="1:24" s="88" customFormat="1" ht="25.5" customHeight="1" x14ac:dyDescent="0.25">
      <c r="A75" s="271"/>
      <c r="B75" s="127" t="s">
        <v>193</v>
      </c>
      <c r="C75" s="127"/>
      <c r="D75" s="365">
        <f>+[3]REVENUE!$D$15</f>
        <v>157362</v>
      </c>
      <c r="E75" s="365">
        <f>+[3]REVENUE!$G$15</f>
        <v>0</v>
      </c>
      <c r="F75" s="365">
        <f>+[3]REVENUE!$J$15</f>
        <v>0</v>
      </c>
      <c r="G75" s="365">
        <f>+[3]REVENUE!$M$15</f>
        <v>893145.76</v>
      </c>
      <c r="H75" s="365">
        <v>0</v>
      </c>
      <c r="I75" s="178">
        <f t="shared" si="9"/>
        <v>1050507.76</v>
      </c>
      <c r="J75" s="98"/>
      <c r="K75" s="98"/>
      <c r="L75" s="98"/>
      <c r="M75" s="98"/>
      <c r="N75" s="98"/>
      <c r="O75" s="365" t="s">
        <v>257</v>
      </c>
      <c r="P75" s="365"/>
      <c r="Q75" s="365"/>
      <c r="R75" s="365"/>
      <c r="S75" s="98"/>
      <c r="T75" s="98"/>
      <c r="U75" s="98"/>
      <c r="V75" s="98"/>
      <c r="W75" s="98"/>
      <c r="X75" s="98"/>
    </row>
    <row r="76" spans="1:24" s="88" customFormat="1" ht="27" customHeight="1" thickBot="1" x14ac:dyDescent="0.3">
      <c r="A76" s="271"/>
      <c r="B76" s="127" t="s">
        <v>213</v>
      </c>
      <c r="C76" s="127"/>
      <c r="D76" s="365">
        <f>+[3]REVENUE!$C$104</f>
        <v>2298807</v>
      </c>
      <c r="E76" s="365">
        <f>+[3]REVENUE!$F$104</f>
        <v>382300</v>
      </c>
      <c r="F76" s="365">
        <f>+[3]REVENUE!$I$104</f>
        <v>245725</v>
      </c>
      <c r="G76" s="365">
        <f>+[3]REVENUE!$M$98</f>
        <v>1314169.58</v>
      </c>
      <c r="H76" s="365">
        <v>0</v>
      </c>
      <c r="I76" s="178">
        <f t="shared" si="9"/>
        <v>4241001.58</v>
      </c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</row>
    <row r="77" spans="1:24" s="88" customFormat="1" ht="36" customHeight="1" thickBot="1" x14ac:dyDescent="0.35">
      <c r="A77" s="271"/>
      <c r="B77" s="288" t="s">
        <v>87</v>
      </c>
      <c r="C77" s="127"/>
      <c r="D77" s="109">
        <f t="shared" ref="D77:I77" si="10">SUM(D71:D76)</f>
        <v>117375089.80448963</v>
      </c>
      <c r="E77" s="109">
        <f t="shared" si="10"/>
        <v>27106777.09520369</v>
      </c>
      <c r="F77" s="109">
        <f t="shared" si="10"/>
        <v>27719515.46486789</v>
      </c>
      <c r="G77" s="109">
        <f t="shared" si="10"/>
        <v>33608522.922077827</v>
      </c>
      <c r="H77" s="109">
        <f t="shared" si="10"/>
        <v>28383047.449999999</v>
      </c>
      <c r="I77" s="179">
        <f t="shared" si="10"/>
        <v>234192952.73663899</v>
      </c>
      <c r="J77" s="137"/>
      <c r="K77" s="98"/>
      <c r="L77" s="98"/>
      <c r="M77" s="265"/>
      <c r="N77" s="98"/>
      <c r="O77" s="98">
        <f>+[3]REVENUE!$O$100</f>
        <v>213000338.18000001</v>
      </c>
      <c r="P77" s="265">
        <f>+I77-O77</f>
        <v>21192614.556638986</v>
      </c>
      <c r="Q77" s="98"/>
      <c r="R77" s="98"/>
      <c r="S77" s="98"/>
      <c r="T77" s="98"/>
      <c r="U77" s="98"/>
      <c r="V77" s="98"/>
      <c r="W77" s="98"/>
      <c r="X77" s="98"/>
    </row>
    <row r="78" spans="1:24" s="91" customFormat="1" ht="18.75" thickBot="1" x14ac:dyDescent="0.3">
      <c r="A78" s="272"/>
      <c r="B78" s="132"/>
      <c r="C78" s="132"/>
      <c r="D78" s="132"/>
      <c r="E78" s="132"/>
      <c r="F78" s="132"/>
      <c r="G78" s="132"/>
      <c r="H78" s="132"/>
      <c r="I78" s="133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</row>
    <row r="79" spans="1:24" s="91" customFormat="1" x14ac:dyDescent="0.25">
      <c r="A79" s="7"/>
      <c r="I79" s="88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</row>
    <row r="80" spans="1:24" x14ac:dyDescent="0.25">
      <c r="G80" s="260"/>
      <c r="I80" s="261"/>
    </row>
    <row r="81" spans="4:9" x14ac:dyDescent="0.25">
      <c r="I81" s="262"/>
    </row>
    <row r="85" spans="4:9" x14ac:dyDescent="0.25">
      <c r="D85" s="260">
        <f>+D44+D25</f>
        <v>114726504.89060067</v>
      </c>
      <c r="E85" s="260">
        <f>+E44+E25</f>
        <v>26287564.373277031</v>
      </c>
      <c r="F85" s="260">
        <f>+F44+F25</f>
        <v>24358512.342692833</v>
      </c>
      <c r="G85" s="260">
        <f>SUM(D85:F85)</f>
        <v>165372581.60657051</v>
      </c>
    </row>
    <row r="93" spans="4:9" x14ac:dyDescent="0.25">
      <c r="D93" s="91">
        <v>-17124486.978542309</v>
      </c>
      <c r="E93" s="91">
        <v>-3492354.1610222561</v>
      </c>
      <c r="F93" s="91">
        <v>-3727314.0700582545</v>
      </c>
      <c r="G93" s="91">
        <v>24344155.209622819</v>
      </c>
    </row>
    <row r="94" spans="4:9" x14ac:dyDescent="0.25">
      <c r="D94" s="91">
        <v>-17064815.999673229</v>
      </c>
      <c r="E94" s="91">
        <v>-3480184.9093765374</v>
      </c>
      <c r="F94" s="91">
        <v>-3714326.0909502343</v>
      </c>
      <c r="G94" s="91">
        <f>-SUM(D94:F94)</f>
        <v>24259327</v>
      </c>
    </row>
    <row r="95" spans="4:9" x14ac:dyDescent="0.25">
      <c r="D95" s="260">
        <f>+D93-D94</f>
        <v>-59670.978869080544</v>
      </c>
      <c r="E95" s="260">
        <f>+E93-E94</f>
        <v>-12169.251645718701</v>
      </c>
      <c r="F95" s="260">
        <f>+F93-F94</f>
        <v>-12987.979108020198</v>
      </c>
      <c r="G95" s="260">
        <f>+G93-G94</f>
        <v>84828.209622818977</v>
      </c>
    </row>
    <row r="97" spans="4:6" x14ac:dyDescent="0.25">
      <c r="D97" s="342">
        <v>62942441.912292525</v>
      </c>
      <c r="E97" s="342">
        <v>16617726.153456096</v>
      </c>
      <c r="F97" s="342">
        <v>15886748.072330562</v>
      </c>
    </row>
    <row r="98" spans="4:6" x14ac:dyDescent="0.25">
      <c r="D98" s="342">
        <v>62546412.520583063</v>
      </c>
      <c r="E98" s="342">
        <v>16514194.541623132</v>
      </c>
      <c r="F98" s="342">
        <v>15787385.778280752</v>
      </c>
    </row>
    <row r="99" spans="4:6" x14ac:dyDescent="0.25">
      <c r="D99" s="345">
        <f>+D97-D98</f>
        <v>396029.39170946181</v>
      </c>
      <c r="E99" s="345">
        <f>+E97-E98</f>
        <v>103531.6118329633</v>
      </c>
      <c r="F99" s="345">
        <f>+F97-F98</f>
        <v>99362.294049810618</v>
      </c>
    </row>
  </sheetData>
  <mergeCells count="2">
    <mergeCell ref="A58:B59"/>
    <mergeCell ref="A62:B63"/>
  </mergeCells>
  <phoneticPr fontId="0" type="noConversion"/>
  <printOptions horizontalCentered="1" headings="1" gridLines="1"/>
  <pageMargins left="0" right="0" top="0.75" bottom="1.25" header="0.5" footer="0"/>
  <pageSetup scale="53" firstPageNumber="7" fitToHeight="2" orientation="landscape" r:id="rId1"/>
  <headerFooter scaleWithDoc="0" alignWithMargins="0">
    <oddFooter>&amp;C                                                                                                  &amp;R7</oddFooter>
    <firstFooter>&amp;C7</firstFoot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G10" sqref="G10"/>
    </sheetView>
  </sheetViews>
  <sheetFormatPr defaultRowHeight="12.75" x14ac:dyDescent="0.2"/>
  <cols>
    <col min="1" max="1" width="36" bestFit="1" customWidth="1"/>
    <col min="2" max="2" width="12.28515625" bestFit="1" customWidth="1"/>
    <col min="3" max="4" width="11.28515625" bestFit="1" customWidth="1"/>
    <col min="5" max="5" width="11.28515625" style="149" bestFit="1" customWidth="1"/>
    <col min="6" max="6" width="12.42578125" bestFit="1" customWidth="1"/>
    <col min="7" max="7" width="12.28515625" bestFit="1" customWidth="1"/>
  </cols>
  <sheetData>
    <row r="1" spans="1:10" x14ac:dyDescent="0.2">
      <c r="A1" s="77" t="s">
        <v>255</v>
      </c>
    </row>
    <row r="3" spans="1:10" x14ac:dyDescent="0.2">
      <c r="B3" s="361" t="s">
        <v>250</v>
      </c>
      <c r="C3" s="361" t="s">
        <v>251</v>
      </c>
      <c r="D3" s="361" t="s">
        <v>252</v>
      </c>
      <c r="E3" s="411" t="s">
        <v>253</v>
      </c>
      <c r="F3" s="361" t="s">
        <v>254</v>
      </c>
      <c r="G3" s="363" t="s">
        <v>4</v>
      </c>
    </row>
    <row r="5" spans="1:10" x14ac:dyDescent="0.2">
      <c r="A5" t="s">
        <v>301</v>
      </c>
      <c r="B5" s="362">
        <f>+[4]Summary!C68</f>
        <v>21496878.579737905</v>
      </c>
      <c r="C5" s="362">
        <f>+[4]Summary!D68</f>
        <v>6046732.0703075696</v>
      </c>
      <c r="D5" s="362">
        <f>+[4]Summary!E68</f>
        <v>7891990.7600230351</v>
      </c>
      <c r="E5" s="149">
        <v>0</v>
      </c>
      <c r="F5" s="362">
        <f>+[4]Summary!G68</f>
        <v>30834959.18</v>
      </c>
      <c r="G5" s="362">
        <f>SUM(B5:F5)</f>
        <v>66270560.590068512</v>
      </c>
      <c r="H5" s="362"/>
      <c r="I5" s="362"/>
      <c r="J5" s="362"/>
    </row>
    <row r="6" spans="1:10" ht="13.5" thickBot="1" x14ac:dyDescent="0.25">
      <c r="A6" s="409" t="s">
        <v>305</v>
      </c>
      <c r="B6" s="362">
        <f>+[3]REVENUE!$C$15</f>
        <v>15767500</v>
      </c>
      <c r="C6" s="362">
        <f>+[3]REVENUE!$F$15</f>
        <v>4687862</v>
      </c>
      <c r="D6" s="362">
        <f>+[3]REVENUE!$I$15</f>
        <v>7306236</v>
      </c>
      <c r="E6" s="149">
        <v>0</v>
      </c>
      <c r="F6" s="362">
        <f>+[3]REVENUE!$L$15</f>
        <v>21499439.809999999</v>
      </c>
      <c r="G6" s="362">
        <f>SUM(B6:F6)</f>
        <v>49261037.810000002</v>
      </c>
      <c r="H6" s="362"/>
      <c r="I6" s="362"/>
      <c r="J6" s="362"/>
    </row>
    <row r="7" spans="1:10" x14ac:dyDescent="0.2">
      <c r="A7" s="410" t="s">
        <v>304</v>
      </c>
      <c r="B7" s="412">
        <f>+B5-B6</f>
        <v>5729378.5797379054</v>
      </c>
      <c r="C7" s="412">
        <f t="shared" ref="C7:G7" si="0">+C5-C6</f>
        <v>1358870.0703075696</v>
      </c>
      <c r="D7" s="412">
        <f t="shared" si="0"/>
        <v>585754.76002303511</v>
      </c>
      <c r="E7" s="413">
        <f t="shared" si="0"/>
        <v>0</v>
      </c>
      <c r="F7" s="412">
        <f t="shared" si="0"/>
        <v>9335519.370000001</v>
      </c>
      <c r="G7" s="412">
        <f t="shared" si="0"/>
        <v>17009522.780068509</v>
      </c>
      <c r="H7" s="362"/>
      <c r="I7" s="362"/>
      <c r="J7" s="362"/>
    </row>
    <row r="8" spans="1:10" x14ac:dyDescent="0.2">
      <c r="A8" s="77"/>
      <c r="B8" s="362"/>
      <c r="C8" s="362"/>
      <c r="D8" s="362"/>
      <c r="F8" s="362"/>
      <c r="G8" s="362"/>
      <c r="H8" s="362"/>
      <c r="I8" s="362"/>
      <c r="J8" s="362"/>
    </row>
    <row r="9" spans="1:10" x14ac:dyDescent="0.2">
      <c r="A9" t="s">
        <v>302</v>
      </c>
      <c r="B9" s="362">
        <f>+[3]BC_EXP!$H$213</f>
        <v>16193052.779999999</v>
      </c>
      <c r="C9" s="362">
        <f>+[3]CC_EXP!$H$188</f>
        <v>3039947.39</v>
      </c>
      <c r="D9" s="362">
        <f>+[3]PC_EXP!$H$193</f>
        <v>6700660.7599999998</v>
      </c>
      <c r="E9" s="149">
        <v>0</v>
      </c>
      <c r="F9" s="362">
        <f>+[3]DO_EXP!$H$179</f>
        <v>20585678.079999998</v>
      </c>
      <c r="G9" s="362">
        <f>SUM(B9:F9)</f>
        <v>46519339.009999998</v>
      </c>
      <c r="H9" s="362"/>
      <c r="I9" s="362"/>
      <c r="J9" s="362"/>
    </row>
    <row r="10" spans="1:10" ht="13.5" thickBot="1" x14ac:dyDescent="0.25">
      <c r="A10" s="361" t="s">
        <v>303</v>
      </c>
      <c r="B10" s="364">
        <f>+B9+B7</f>
        <v>21922431.359737903</v>
      </c>
      <c r="C10" s="364">
        <f t="shared" ref="C10:G10" si="1">+C9+C7</f>
        <v>4398817.4603075702</v>
      </c>
      <c r="D10" s="364">
        <f t="shared" si="1"/>
        <v>7286415.5200230349</v>
      </c>
      <c r="E10" s="364">
        <f t="shared" si="1"/>
        <v>0</v>
      </c>
      <c r="F10" s="364">
        <f t="shared" si="1"/>
        <v>29921197.449999999</v>
      </c>
      <c r="G10" s="364">
        <f t="shared" si="1"/>
        <v>63528861.790068507</v>
      </c>
      <c r="H10" s="362"/>
      <c r="I10" s="362"/>
      <c r="J10" s="362"/>
    </row>
    <row r="11" spans="1:10" ht="13.5" thickTop="1" x14ac:dyDescent="0.2">
      <c r="B11" s="362"/>
      <c r="C11" s="362"/>
      <c r="D11" s="362"/>
      <c r="F11" s="362"/>
      <c r="G11" s="362"/>
      <c r="H11" s="362"/>
      <c r="I11" s="362"/>
      <c r="J11" s="362"/>
    </row>
    <row r="12" spans="1:10" x14ac:dyDescent="0.2">
      <c r="B12" s="362"/>
      <c r="C12" s="362"/>
      <c r="D12" s="362"/>
      <c r="F12" s="362"/>
      <c r="G12" s="362"/>
      <c r="H12" s="362"/>
      <c r="I12" s="362"/>
      <c r="J12" s="362"/>
    </row>
    <row r="13" spans="1:10" x14ac:dyDescent="0.2">
      <c r="B13" s="362"/>
      <c r="C13" s="362"/>
      <c r="D13" s="362"/>
      <c r="F13" s="362"/>
      <c r="G13" s="362"/>
      <c r="H13" s="362"/>
      <c r="I13" s="362"/>
      <c r="J13" s="362"/>
    </row>
    <row r="14" spans="1:10" x14ac:dyDescent="0.2">
      <c r="B14" s="362"/>
      <c r="C14" s="362"/>
      <c r="D14" s="362"/>
      <c r="F14" s="362"/>
      <c r="G14" s="362"/>
      <c r="H14" s="362"/>
      <c r="I14" s="362"/>
      <c r="J14" s="362"/>
    </row>
    <row r="15" spans="1:10" x14ac:dyDescent="0.2">
      <c r="B15" s="362"/>
      <c r="C15" s="362"/>
      <c r="D15" s="362"/>
      <c r="F15" s="362"/>
      <c r="G15" s="362"/>
      <c r="H15" s="362"/>
      <c r="I15" s="362"/>
      <c r="J15" s="362"/>
    </row>
    <row r="16" spans="1:10" x14ac:dyDescent="0.2">
      <c r="B16" s="362"/>
      <c r="C16" s="362"/>
      <c r="D16" s="362"/>
      <c r="F16" s="362"/>
      <c r="G16" s="362"/>
      <c r="H16" s="362"/>
      <c r="I16" s="362"/>
      <c r="J16" s="362"/>
    </row>
    <row r="17" spans="2:10" x14ac:dyDescent="0.2">
      <c r="B17" s="362"/>
      <c r="C17" s="362"/>
      <c r="D17" s="362"/>
      <c r="F17" s="362"/>
      <c r="G17" s="362"/>
      <c r="H17" s="362"/>
      <c r="I17" s="362"/>
      <c r="J17" s="362"/>
    </row>
    <row r="18" spans="2:10" x14ac:dyDescent="0.2">
      <c r="B18" s="362"/>
      <c r="C18" s="362"/>
      <c r="D18" s="362"/>
      <c r="F18" s="362"/>
      <c r="G18" s="362"/>
      <c r="H18" s="362"/>
      <c r="I18" s="362"/>
      <c r="J18" s="362"/>
    </row>
    <row r="19" spans="2:10" x14ac:dyDescent="0.2">
      <c r="B19" s="362"/>
      <c r="C19" s="362"/>
      <c r="D19" s="362"/>
      <c r="F19" s="362"/>
      <c r="G19" s="362"/>
      <c r="H19" s="362"/>
      <c r="I19" s="362"/>
      <c r="J19" s="362"/>
    </row>
    <row r="20" spans="2:10" x14ac:dyDescent="0.2">
      <c r="B20" s="362"/>
      <c r="C20" s="362"/>
      <c r="D20" s="362"/>
      <c r="F20" s="362"/>
      <c r="G20" s="362"/>
      <c r="H20" s="362"/>
      <c r="I20" s="362"/>
      <c r="J20" s="362"/>
    </row>
    <row r="21" spans="2:10" x14ac:dyDescent="0.2">
      <c r="B21" s="362"/>
      <c r="C21" s="362"/>
      <c r="D21" s="362"/>
      <c r="F21" s="362"/>
      <c r="G21" s="362"/>
      <c r="H21" s="362"/>
      <c r="I21" s="362"/>
      <c r="J21" s="362"/>
    </row>
    <row r="22" spans="2:10" x14ac:dyDescent="0.2">
      <c r="B22" s="362"/>
      <c r="C22" s="362"/>
      <c r="D22" s="362"/>
      <c r="F22" s="362"/>
      <c r="G22" s="362"/>
      <c r="H22" s="362"/>
      <c r="I22" s="362"/>
      <c r="J22" s="362"/>
    </row>
    <row r="23" spans="2:10" x14ac:dyDescent="0.2">
      <c r="B23" s="362"/>
      <c r="C23" s="362"/>
      <c r="D23" s="362"/>
      <c r="F23" s="362"/>
      <c r="G23" s="362"/>
      <c r="H23" s="362"/>
      <c r="I23" s="362"/>
      <c r="J23" s="362"/>
    </row>
    <row r="24" spans="2:10" x14ac:dyDescent="0.2">
      <c r="B24" s="362"/>
      <c r="C24" s="362"/>
      <c r="D24" s="362"/>
      <c r="F24" s="362"/>
      <c r="G24" s="362"/>
      <c r="H24" s="362"/>
      <c r="I24" s="362"/>
      <c r="J24" s="362"/>
    </row>
    <row r="25" spans="2:10" x14ac:dyDescent="0.2">
      <c r="B25" s="362"/>
      <c r="C25" s="362"/>
      <c r="D25" s="362"/>
      <c r="F25" s="362"/>
      <c r="G25" s="362"/>
      <c r="H25" s="362"/>
      <c r="I25" s="362"/>
      <c r="J25" s="362"/>
    </row>
    <row r="26" spans="2:10" x14ac:dyDescent="0.2">
      <c r="B26" s="362"/>
      <c r="C26" s="362"/>
      <c r="D26" s="362"/>
      <c r="F26" s="362"/>
      <c r="G26" s="362"/>
      <c r="H26" s="362"/>
      <c r="I26" s="362"/>
      <c r="J26" s="362"/>
    </row>
    <row r="27" spans="2:10" x14ac:dyDescent="0.2">
      <c r="B27" s="362"/>
      <c r="C27" s="362"/>
      <c r="D27" s="362"/>
      <c r="F27" s="362"/>
      <c r="G27" s="362"/>
      <c r="H27" s="362"/>
      <c r="I27" s="362"/>
      <c r="J27" s="362"/>
    </row>
    <row r="28" spans="2:10" x14ac:dyDescent="0.2">
      <c r="B28" s="362"/>
      <c r="C28" s="362"/>
      <c r="D28" s="362"/>
      <c r="F28" s="362"/>
      <c r="G28" s="362"/>
      <c r="H28" s="362"/>
      <c r="I28" s="362"/>
      <c r="J28" s="362"/>
    </row>
    <row r="29" spans="2:10" x14ac:dyDescent="0.2">
      <c r="B29" s="362"/>
      <c r="C29" s="362"/>
      <c r="D29" s="362"/>
      <c r="F29" s="362"/>
      <c r="G29" s="362"/>
      <c r="H29" s="362"/>
      <c r="I29" s="362"/>
      <c r="J29" s="36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56"/>
  <sheetViews>
    <sheetView topLeftCell="A21" workbookViewId="0">
      <selection activeCell="C24" sqref="C24"/>
    </sheetView>
  </sheetViews>
  <sheetFormatPr defaultRowHeight="15" x14ac:dyDescent="0.2"/>
  <cols>
    <col min="1" max="1" width="39.42578125" customWidth="1"/>
    <col min="2" max="2" width="16.5703125" style="34" customWidth="1"/>
    <col min="3" max="3" width="18.85546875" bestFit="1" customWidth="1"/>
    <col min="4" max="4" width="16.5703125" customWidth="1"/>
    <col min="5" max="5" width="16.42578125" style="149" customWidth="1"/>
    <col min="6" max="6" width="17.85546875" style="149" bestFit="1" customWidth="1"/>
    <col min="7" max="7" width="15.42578125" customWidth="1"/>
    <col min="8" max="8" width="18.140625" bestFit="1" customWidth="1"/>
  </cols>
  <sheetData>
    <row r="1" spans="1:8" ht="18" x14ac:dyDescent="0.25">
      <c r="A1" s="1" t="s">
        <v>5</v>
      </c>
    </row>
    <row r="2" spans="1:8" ht="18" x14ac:dyDescent="0.25">
      <c r="A2" s="1" t="s">
        <v>101</v>
      </c>
    </row>
    <row r="4" spans="1:8" ht="18.75" thickBot="1" x14ac:dyDescent="0.3">
      <c r="A4" s="70" t="s">
        <v>120</v>
      </c>
    </row>
    <row r="5" spans="1:8" x14ac:dyDescent="0.2">
      <c r="E5" s="366"/>
      <c r="F5" s="366"/>
      <c r="G5" s="61"/>
      <c r="H5" s="61"/>
    </row>
    <row r="6" spans="1:8" ht="15.75" x14ac:dyDescent="0.25">
      <c r="A6" s="2" t="s">
        <v>44</v>
      </c>
      <c r="B6" s="35">
        <v>0</v>
      </c>
      <c r="C6" t="s">
        <v>256</v>
      </c>
      <c r="D6" s="409" t="s">
        <v>322</v>
      </c>
      <c r="E6" s="366"/>
      <c r="F6" s="366"/>
      <c r="G6" s="61"/>
      <c r="H6" s="367"/>
    </row>
    <row r="7" spans="1:8" x14ac:dyDescent="0.2">
      <c r="C7" s="343"/>
      <c r="D7" s="344"/>
      <c r="E7" s="334"/>
      <c r="F7" s="366"/>
      <c r="G7" s="61"/>
      <c r="H7" s="368"/>
    </row>
    <row r="8" spans="1:8" s="424" customFormat="1" ht="32.25" thickBot="1" x14ac:dyDescent="0.3">
      <c r="A8" s="3" t="s">
        <v>333</v>
      </c>
      <c r="B8" s="3" t="s">
        <v>315</v>
      </c>
      <c r="C8" s="425" t="s">
        <v>313</v>
      </c>
      <c r="D8" s="426" t="s">
        <v>314</v>
      </c>
      <c r="E8" s="420"/>
      <c r="F8" s="421"/>
      <c r="G8" s="422"/>
      <c r="H8" s="423"/>
    </row>
    <row r="9" spans="1:8" ht="15.75" x14ac:dyDescent="0.25">
      <c r="A9" s="2" t="s">
        <v>311</v>
      </c>
      <c r="B9" s="34">
        <v>40.97</v>
      </c>
      <c r="C9" s="427">
        <v>223560</v>
      </c>
      <c r="D9" s="37">
        <f>+C9/B9</f>
        <v>5456.675616304613</v>
      </c>
      <c r="E9" s="334"/>
      <c r="F9" s="366"/>
      <c r="G9" s="61"/>
      <c r="H9" s="368"/>
    </row>
    <row r="10" spans="1:8" ht="15.75" x14ac:dyDescent="0.25">
      <c r="A10" s="2" t="s">
        <v>312</v>
      </c>
      <c r="B10" s="34">
        <v>65.88</v>
      </c>
      <c r="C10" s="427">
        <v>220533</v>
      </c>
      <c r="D10" s="37">
        <f>+C10/B10</f>
        <v>3347.4954462659384</v>
      </c>
      <c r="E10" s="334"/>
      <c r="F10" s="366"/>
      <c r="G10" s="61"/>
      <c r="H10" s="368"/>
    </row>
    <row r="11" spans="1:8" ht="15.75" x14ac:dyDescent="0.25">
      <c r="A11" s="67" t="s">
        <v>316</v>
      </c>
      <c r="B11" s="152">
        <f>SUM(B9:B10)</f>
        <v>106.85</v>
      </c>
      <c r="C11" s="37"/>
      <c r="D11" s="37">
        <f>(SUM(C9:C10)/SUM(B9:B10))</f>
        <v>4156.2283575105293</v>
      </c>
      <c r="E11" s="334"/>
      <c r="F11" s="366"/>
      <c r="G11" s="61"/>
      <c r="H11" s="368"/>
    </row>
    <row r="12" spans="1:8" x14ac:dyDescent="0.2">
      <c r="C12" s="343"/>
      <c r="D12" s="344"/>
      <c r="E12" s="334"/>
      <c r="F12" s="366"/>
      <c r="G12" s="61"/>
      <c r="H12" s="368"/>
    </row>
    <row r="13" spans="1:8" x14ac:dyDescent="0.2">
      <c r="C13" s="343"/>
      <c r="D13" s="344"/>
      <c r="E13" s="334"/>
      <c r="F13" s="366"/>
      <c r="G13" s="61"/>
      <c r="H13" s="368"/>
    </row>
    <row r="14" spans="1:8" ht="15.75" x14ac:dyDescent="0.25">
      <c r="A14" s="2" t="s">
        <v>334</v>
      </c>
      <c r="B14" s="37">
        <f>+B33</f>
        <v>21436.61</v>
      </c>
      <c r="C14" s="427">
        <f>+'[1]Summary Allocations'!$I$44</f>
        <v>141254497.0084312</v>
      </c>
      <c r="D14" s="37">
        <f>+C14/B14</f>
        <v>6589.4046217396872</v>
      </c>
      <c r="E14" s="334"/>
      <c r="F14" s="366"/>
      <c r="G14" s="61"/>
      <c r="H14" s="368"/>
    </row>
    <row r="15" spans="1:8" ht="15.75" x14ac:dyDescent="0.25">
      <c r="A15" s="2"/>
      <c r="C15" s="343"/>
      <c r="D15" s="344"/>
      <c r="E15" s="334"/>
      <c r="F15" s="366"/>
      <c r="G15" s="61"/>
      <c r="H15" s="368"/>
    </row>
    <row r="16" spans="1:8" x14ac:dyDescent="0.2">
      <c r="C16" s="343"/>
      <c r="D16" s="344"/>
      <c r="E16" s="334"/>
      <c r="F16" s="366"/>
      <c r="G16" s="61"/>
      <c r="H16" s="368"/>
    </row>
    <row r="17" spans="1:9" ht="16.5" thickBot="1" x14ac:dyDescent="0.3">
      <c r="A17" s="31" t="s">
        <v>299</v>
      </c>
      <c r="B17" s="68" t="s">
        <v>315</v>
      </c>
      <c r="C17" s="415" t="s">
        <v>313</v>
      </c>
      <c r="D17" s="416" t="s">
        <v>314</v>
      </c>
      <c r="E17" s="334"/>
      <c r="F17" s="366"/>
      <c r="G17" s="61"/>
      <c r="H17" s="368"/>
    </row>
    <row r="18" spans="1:9" x14ac:dyDescent="0.2">
      <c r="B18" s="33"/>
      <c r="C18" s="294"/>
      <c r="D18" s="344"/>
      <c r="E18" s="369"/>
      <c r="F18" s="366"/>
      <c r="G18" s="61"/>
      <c r="H18" s="368"/>
      <c r="I18" s="257"/>
    </row>
    <row r="19" spans="1:9" ht="15.75" x14ac:dyDescent="0.25">
      <c r="A19" s="2" t="s">
        <v>311</v>
      </c>
      <c r="B19" s="338">
        <v>42.06</v>
      </c>
      <c r="C19" s="32">
        <v>236459</v>
      </c>
      <c r="D19" s="199">
        <f>+C19/B19</f>
        <v>5621.9448407037562</v>
      </c>
      <c r="E19" s="366"/>
      <c r="F19" s="366"/>
      <c r="G19" s="61"/>
      <c r="H19" s="368"/>
      <c r="I19" s="257"/>
    </row>
    <row r="20" spans="1:9" ht="15.75" x14ac:dyDescent="0.25">
      <c r="A20" s="2" t="s">
        <v>312</v>
      </c>
      <c r="B20" s="338">
        <v>71.33</v>
      </c>
      <c r="C20" s="32">
        <v>241140</v>
      </c>
      <c r="D20" s="199">
        <f>+C20/B20</f>
        <v>3380.6252628627508</v>
      </c>
      <c r="E20" s="366"/>
      <c r="F20" s="366"/>
      <c r="G20" s="61"/>
      <c r="H20" s="61"/>
    </row>
    <row r="21" spans="1:9" ht="15.75" x14ac:dyDescent="0.25">
      <c r="A21" s="67" t="s">
        <v>316</v>
      </c>
      <c r="B21" s="152">
        <f>SUM(B19:B20)</f>
        <v>113.39</v>
      </c>
      <c r="C21" s="37"/>
      <c r="D21" s="37">
        <f>(SUM(C19:C20)/SUM(B19:B20))</f>
        <v>4212.0028221183529</v>
      </c>
    </row>
    <row r="22" spans="1:9" x14ac:dyDescent="0.2">
      <c r="C22" s="37"/>
      <c r="D22" s="37"/>
    </row>
    <row r="23" spans="1:9" x14ac:dyDescent="0.2">
      <c r="C23" s="37"/>
      <c r="D23" s="37"/>
    </row>
    <row r="24" spans="1:9" ht="15.75" x14ac:dyDescent="0.25">
      <c r="A24" s="2" t="s">
        <v>310</v>
      </c>
      <c r="B24" s="152">
        <f>+B40</f>
        <v>21992.526597848508</v>
      </c>
      <c r="C24" s="37">
        <f>+Apportionment!D335+Apportionment!D336</f>
        <v>157245777.52508613</v>
      </c>
      <c r="D24" s="37">
        <f>+C24/B24</f>
        <v>7149.9641855824439</v>
      </c>
    </row>
    <row r="25" spans="1:9" ht="15.75" x14ac:dyDescent="0.25">
      <c r="A25" s="2"/>
      <c r="B25" s="33"/>
      <c r="C25" s="37"/>
      <c r="D25" s="37"/>
    </row>
    <row r="26" spans="1:9" ht="15.75" x14ac:dyDescent="0.25">
      <c r="A26" s="2"/>
      <c r="B26" s="33"/>
      <c r="C26" s="37"/>
      <c r="D26" s="37"/>
    </row>
    <row r="28" spans="1:9" ht="16.5" thickBot="1" x14ac:dyDescent="0.3">
      <c r="A28" s="2" t="s">
        <v>124</v>
      </c>
      <c r="B28" s="151" t="s">
        <v>125</v>
      </c>
      <c r="C28" s="68" t="s">
        <v>126</v>
      </c>
      <c r="D28" s="68" t="s">
        <v>4</v>
      </c>
    </row>
    <row r="29" spans="1:9" x14ac:dyDescent="0.2">
      <c r="A29" t="s">
        <v>1</v>
      </c>
      <c r="B29" s="199">
        <f>15619.05-B32</f>
        <v>15526.05</v>
      </c>
      <c r="C29" s="152">
        <v>92.28</v>
      </c>
      <c r="D29" s="152">
        <f>SUM(B29:C29)</f>
        <v>15618.33</v>
      </c>
      <c r="E29" s="414" t="s">
        <v>306</v>
      </c>
      <c r="F29" s="206"/>
      <c r="G29" s="257">
        <f>+D29/$D$33</f>
        <v>0.72460088176932869</v>
      </c>
      <c r="H29" s="291"/>
      <c r="I29" s="291"/>
    </row>
    <row r="30" spans="1:9" x14ac:dyDescent="0.2">
      <c r="A30" s="77" t="s">
        <v>43</v>
      </c>
      <c r="B30" s="153">
        <v>2847.2</v>
      </c>
      <c r="C30" s="330">
        <v>0.95</v>
      </c>
      <c r="D30" s="152">
        <f>SUM(B30:C30)</f>
        <v>2848.1499999999996</v>
      </c>
      <c r="E30" s="414" t="s">
        <v>306</v>
      </c>
      <c r="F30" s="206"/>
      <c r="G30" s="257">
        <f>+D30/$D$33</f>
        <v>0.13213781508082575</v>
      </c>
      <c r="H30" s="291"/>
      <c r="I30" s="291"/>
    </row>
    <row r="31" spans="1:9" x14ac:dyDescent="0.2">
      <c r="A31" s="77" t="s">
        <v>3</v>
      </c>
      <c r="B31" s="199">
        <v>2970.36</v>
      </c>
      <c r="C31" s="152">
        <v>24.55</v>
      </c>
      <c r="D31" s="152">
        <f>SUM(B31:C31)</f>
        <v>2994.9100000000003</v>
      </c>
      <c r="E31" s="414" t="s">
        <v>306</v>
      </c>
      <c r="F31" s="206"/>
      <c r="G31" s="257">
        <f>+D31/$D$33</f>
        <v>0.13894663685680739</v>
      </c>
      <c r="H31" s="291"/>
      <c r="I31" s="291"/>
    </row>
    <row r="32" spans="1:9" ht="15.75" thickBot="1" x14ac:dyDescent="0.25">
      <c r="A32" s="77" t="s">
        <v>145</v>
      </c>
      <c r="B32" s="152">
        <v>93</v>
      </c>
      <c r="C32" s="152"/>
      <c r="D32" s="152">
        <f>SUM(B32:C32)</f>
        <v>93</v>
      </c>
      <c r="E32" s="414" t="s">
        <v>306</v>
      </c>
      <c r="F32" s="206"/>
      <c r="G32" s="257">
        <f>+D32/$D$33</f>
        <v>4.3146662930382161E-3</v>
      </c>
      <c r="H32" s="291"/>
      <c r="I32" s="291"/>
    </row>
    <row r="33" spans="1:10" ht="15.75" thickBot="1" x14ac:dyDescent="0.25">
      <c r="A33" s="77"/>
      <c r="B33" s="194">
        <f>SUM(B29:B32)</f>
        <v>21436.61</v>
      </c>
      <c r="C33" s="194">
        <f>SUM(C29:C32)</f>
        <v>117.78</v>
      </c>
      <c r="D33" s="194">
        <f>SUM(D29:D32)</f>
        <v>21554.39</v>
      </c>
      <c r="E33" s="414" t="s">
        <v>306</v>
      </c>
      <c r="G33" s="291">
        <f>SUM(G29:G32)</f>
        <v>1</v>
      </c>
      <c r="H33" s="291"/>
      <c r="I33" s="291"/>
    </row>
    <row r="34" spans="1:10" x14ac:dyDescent="0.2">
      <c r="B34" s="152"/>
      <c r="C34" s="182"/>
      <c r="E34" s="360"/>
    </row>
    <row r="35" spans="1:10" ht="16.5" thickBot="1" x14ac:dyDescent="0.3">
      <c r="A35" s="2" t="s">
        <v>139</v>
      </c>
      <c r="B35" s="151" t="s">
        <v>125</v>
      </c>
      <c r="C35" s="68" t="s">
        <v>126</v>
      </c>
      <c r="D35" s="68" t="s">
        <v>4</v>
      </c>
      <c r="E35" s="360"/>
    </row>
    <row r="36" spans="1:10" x14ac:dyDescent="0.2">
      <c r="A36" t="s">
        <v>1</v>
      </c>
      <c r="B36" s="199">
        <f>+B29*(1+G$44)+9.78</f>
        <v>15933.107879656995</v>
      </c>
      <c r="C36" s="152">
        <v>84.71</v>
      </c>
      <c r="D36" s="152">
        <f>SUM(B36:C36)</f>
        <v>16017.817879656994</v>
      </c>
      <c r="E36" s="414" t="s">
        <v>307</v>
      </c>
      <c r="F36" s="206"/>
      <c r="G36" s="254">
        <f>+D36/$D$40</f>
        <v>0.72459415146874995</v>
      </c>
      <c r="H36" s="291"/>
      <c r="I36" s="257"/>
      <c r="J36" s="257"/>
    </row>
    <row r="37" spans="1:10" s="61" customFormat="1" x14ac:dyDescent="0.2">
      <c r="A37" s="329" t="s">
        <v>43</v>
      </c>
      <c r="B37" s="199">
        <f>+B30*(1+G$44)</f>
        <v>2920.0536607159834</v>
      </c>
      <c r="C37" s="330">
        <v>0.38</v>
      </c>
      <c r="D37" s="152">
        <f>SUM(B37:C37)</f>
        <v>2920.4336607159835</v>
      </c>
      <c r="E37" s="414" t="s">
        <v>307</v>
      </c>
      <c r="F37" s="331"/>
      <c r="G37" s="332">
        <f>+D37/$D$40</f>
        <v>0.13211095083025054</v>
      </c>
      <c r="H37" s="333"/>
      <c r="I37" s="334"/>
      <c r="J37" s="257"/>
    </row>
    <row r="38" spans="1:10" x14ac:dyDescent="0.2">
      <c r="A38" s="77" t="s">
        <v>3</v>
      </c>
      <c r="B38" s="199">
        <f>+B31*(1+G$44)</f>
        <v>3046.3650574755302</v>
      </c>
      <c r="C38" s="152">
        <v>28.3</v>
      </c>
      <c r="D38" s="152">
        <f>SUM(B38:C38)</f>
        <v>3074.6650574755304</v>
      </c>
      <c r="E38" s="414" t="s">
        <v>307</v>
      </c>
      <c r="F38" s="206"/>
      <c r="G38" s="254">
        <f>+D38/$D$40</f>
        <v>0.13908787920491733</v>
      </c>
      <c r="H38" s="291"/>
      <c r="I38" s="257"/>
      <c r="J38" s="257"/>
    </row>
    <row r="39" spans="1:10" ht="15.75" thickBot="1" x14ac:dyDescent="0.25">
      <c r="A39" s="77" t="s">
        <v>145</v>
      </c>
      <c r="B39" s="152">
        <v>93</v>
      </c>
      <c r="C39" s="152"/>
      <c r="D39" s="152">
        <f>SUM(B39:C39)</f>
        <v>93</v>
      </c>
      <c r="E39" s="414" t="s">
        <v>307</v>
      </c>
      <c r="F39" s="206"/>
      <c r="G39" s="254">
        <f>+D39/$D$40</f>
        <v>4.2070184960822377E-3</v>
      </c>
      <c r="I39" s="257"/>
    </row>
    <row r="40" spans="1:10" ht="15.75" thickBot="1" x14ac:dyDescent="0.25">
      <c r="B40" s="194">
        <f>SUM(B36:B39)</f>
        <v>21992.526597848508</v>
      </c>
      <c r="C40" s="194">
        <f>SUM(C36:C39)</f>
        <v>113.38999999999999</v>
      </c>
      <c r="D40" s="194">
        <f>SUM(D36:D39)</f>
        <v>22105.916597848507</v>
      </c>
      <c r="E40" s="414" t="s">
        <v>307</v>
      </c>
      <c r="F40" s="255"/>
      <c r="G40" s="418">
        <f>SUM(G36:G39)</f>
        <v>1</v>
      </c>
      <c r="J40" s="291"/>
    </row>
    <row r="41" spans="1:10" ht="15.75" x14ac:dyDescent="0.25">
      <c r="A41" s="2" t="s">
        <v>140</v>
      </c>
      <c r="E41" s="206"/>
      <c r="G41" s="204"/>
    </row>
    <row r="42" spans="1:10" x14ac:dyDescent="0.2">
      <c r="A42" t="s">
        <v>1</v>
      </c>
      <c r="B42" s="152">
        <f t="shared" ref="B42:C45" si="0">ROUND(+B36-B29,2)</f>
        <v>407.06</v>
      </c>
      <c r="C42" s="152">
        <f t="shared" si="0"/>
        <v>-7.57</v>
      </c>
      <c r="D42" s="152">
        <f>SUM(B42:C42)</f>
        <v>399.49</v>
      </c>
      <c r="F42" s="350" t="s">
        <v>320</v>
      </c>
      <c r="G42" s="182">
        <f>+D33</f>
        <v>21554.39</v>
      </c>
    </row>
    <row r="43" spans="1:10" x14ac:dyDescent="0.2">
      <c r="A43" s="77" t="s">
        <v>43</v>
      </c>
      <c r="B43" s="152">
        <f t="shared" si="0"/>
        <v>72.849999999999994</v>
      </c>
      <c r="C43" s="152">
        <f t="shared" si="0"/>
        <v>-0.56999999999999995</v>
      </c>
      <c r="D43" s="152">
        <f>SUM(B43:C43)</f>
        <v>72.28</v>
      </c>
      <c r="F43" s="149" t="s">
        <v>319</v>
      </c>
      <c r="G43" s="149">
        <v>22105.919999999998</v>
      </c>
    </row>
    <row r="44" spans="1:10" x14ac:dyDescent="0.2">
      <c r="A44" s="77" t="s">
        <v>3</v>
      </c>
      <c r="B44" s="152">
        <f t="shared" si="0"/>
        <v>76.010000000000005</v>
      </c>
      <c r="C44" s="152">
        <f t="shared" si="0"/>
        <v>3.75</v>
      </c>
      <c r="D44" s="152">
        <f>SUM(B44:C44)</f>
        <v>79.760000000000005</v>
      </c>
      <c r="F44" s="149" t="s">
        <v>321</v>
      </c>
      <c r="G44" s="257">
        <f>+G43/G42-1</f>
        <v>2.5587826888165077E-2</v>
      </c>
    </row>
    <row r="45" spans="1:10" ht="15.75" thickBot="1" x14ac:dyDescent="0.25">
      <c r="A45" s="77" t="s">
        <v>145</v>
      </c>
      <c r="B45" s="152">
        <f t="shared" si="0"/>
        <v>0</v>
      </c>
      <c r="C45" s="152">
        <f t="shared" si="0"/>
        <v>0</v>
      </c>
      <c r="D45" s="152">
        <f>SUM(B45:C45)</f>
        <v>0</v>
      </c>
    </row>
    <row r="46" spans="1:10" ht="15.75" thickBot="1" x14ac:dyDescent="0.25">
      <c r="B46" s="194">
        <f>SUM(B42:B45)</f>
        <v>555.91999999999996</v>
      </c>
      <c r="C46" s="194">
        <f>SUM(C42:C45)</f>
        <v>-4.3900000000000006</v>
      </c>
      <c r="D46" s="194">
        <f>SUM(D42:D45)</f>
        <v>551.53</v>
      </c>
    </row>
    <row r="47" spans="1:10" ht="15.75" x14ac:dyDescent="0.25">
      <c r="A47" s="2" t="s">
        <v>161</v>
      </c>
      <c r="B47" s="324"/>
      <c r="C47" s="208"/>
      <c r="G47" s="182"/>
    </row>
    <row r="48" spans="1:10" x14ac:dyDescent="0.2">
      <c r="A48" t="s">
        <v>1</v>
      </c>
      <c r="B48" s="35">
        <f>+B42/B29</f>
        <v>2.6217872543241844E-2</v>
      </c>
      <c r="C48" s="35">
        <f>+C42/C29</f>
        <v>-8.2032943216298226E-2</v>
      </c>
      <c r="D48" s="35">
        <f t="shared" ref="B48:D50" si="1">+D42/D29</f>
        <v>2.5578278855677913E-2</v>
      </c>
      <c r="G48" s="149"/>
    </row>
    <row r="49" spans="1:8" x14ac:dyDescent="0.2">
      <c r="A49" s="77" t="s">
        <v>43</v>
      </c>
      <c r="B49" s="35">
        <f t="shared" si="1"/>
        <v>2.5586541163248103E-2</v>
      </c>
      <c r="C49" s="35">
        <f t="shared" si="1"/>
        <v>-0.6</v>
      </c>
      <c r="D49" s="35">
        <f t="shared" si="1"/>
        <v>2.5377876867440273E-2</v>
      </c>
    </row>
    <row r="50" spans="1:8" x14ac:dyDescent="0.2">
      <c r="A50" s="77" t="s">
        <v>3</v>
      </c>
      <c r="B50" s="35">
        <f>+B44/B31</f>
        <v>2.5589490836127608E-2</v>
      </c>
      <c r="C50" s="35">
        <f t="shared" si="1"/>
        <v>0.15274949083503053</v>
      </c>
      <c r="D50" s="35">
        <f>+D44/D31</f>
        <v>2.6631852042298433E-2</v>
      </c>
    </row>
    <row r="51" spans="1:8" x14ac:dyDescent="0.2">
      <c r="A51" s="77" t="s">
        <v>145</v>
      </c>
      <c r="B51" s="35">
        <f>+B45/B32</f>
        <v>0</v>
      </c>
      <c r="C51" s="35">
        <v>0</v>
      </c>
      <c r="D51" s="35">
        <f>+D45/D32</f>
        <v>0</v>
      </c>
    </row>
    <row r="52" spans="1:8" x14ac:dyDescent="0.2">
      <c r="B52" s="223"/>
      <c r="C52" s="223"/>
      <c r="D52" s="223"/>
    </row>
    <row r="54" spans="1:8" x14ac:dyDescent="0.2">
      <c r="B54" s="35">
        <f>+B46/B33</f>
        <v>2.5933204923726277E-2</v>
      </c>
      <c r="C54" s="35">
        <f>+C46/C33</f>
        <v>-3.7272881643742574E-2</v>
      </c>
      <c r="D54" s="35">
        <f>+D46/D33</f>
        <v>2.558782688816524E-2</v>
      </c>
    </row>
    <row r="55" spans="1:8" x14ac:dyDescent="0.2">
      <c r="B55" s="35"/>
      <c r="C55" s="35"/>
      <c r="D55" s="35"/>
    </row>
    <row r="56" spans="1:8" x14ac:dyDescent="0.2">
      <c r="B56" s="236"/>
      <c r="C56" s="236"/>
      <c r="G56" s="430"/>
      <c r="H56" s="430"/>
    </row>
  </sheetData>
  <mergeCells count="1">
    <mergeCell ref="G56:H56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I33"/>
  <sheetViews>
    <sheetView topLeftCell="A14" workbookViewId="0">
      <selection activeCell="B20" sqref="B20"/>
    </sheetView>
  </sheetViews>
  <sheetFormatPr defaultColWidth="21.42578125" defaultRowHeight="15" x14ac:dyDescent="0.2"/>
  <cols>
    <col min="1" max="1" width="55.42578125" customWidth="1"/>
    <col min="2" max="3" width="21.42578125" style="9" customWidth="1"/>
  </cols>
  <sheetData>
    <row r="1" spans="1:9" ht="18" x14ac:dyDescent="0.25">
      <c r="A1" s="1" t="s">
        <v>5</v>
      </c>
    </row>
    <row r="2" spans="1:9" ht="18" x14ac:dyDescent="0.25">
      <c r="A2" s="1" t="s">
        <v>93</v>
      </c>
    </row>
    <row r="3" spans="1:9" ht="18.75" thickBot="1" x14ac:dyDescent="0.3">
      <c r="A3" s="1"/>
    </row>
    <row r="4" spans="1:9" s="47" customFormat="1" ht="32.25" thickBot="1" x14ac:dyDescent="0.3">
      <c r="A4" s="44" t="s">
        <v>14</v>
      </c>
      <c r="B4" s="45" t="s">
        <v>300</v>
      </c>
      <c r="C4" s="45" t="s">
        <v>292</v>
      </c>
      <c r="D4" s="46" t="s">
        <v>15</v>
      </c>
    </row>
    <row r="5" spans="1:9" s="50" customFormat="1" ht="16.5" customHeight="1" x14ac:dyDescent="0.25">
      <c r="A5" s="48" t="s">
        <v>128</v>
      </c>
      <c r="B5" s="336">
        <f>+'Summary Allocations'!H7+'Summary Allocations'!G7</f>
        <v>29921197.449999999</v>
      </c>
      <c r="C5" s="336">
        <v>21499690.47352564</v>
      </c>
      <c r="D5" s="49">
        <f>+B5-C5</f>
        <v>8421506.9764743596</v>
      </c>
    </row>
    <row r="6" spans="1:9" s="50" customFormat="1" ht="16.5" customHeight="1" thickBot="1" x14ac:dyDescent="0.3">
      <c r="A6" s="48" t="s">
        <v>127</v>
      </c>
      <c r="B6" s="337">
        <f>+'Summary Allocations'!D7+'Summary Allocations'!E7+'Summary Allocations'!F7</f>
        <v>33607664.340068504</v>
      </c>
      <c r="C6" s="337">
        <v>27761598.086474348</v>
      </c>
      <c r="D6" s="51">
        <f>+B6-C6</f>
        <v>5846066.2535941564</v>
      </c>
    </row>
    <row r="7" spans="1:9" s="47" customFormat="1" ht="16.5" customHeight="1" thickBot="1" x14ac:dyDescent="0.3">
      <c r="A7" s="52" t="s">
        <v>121</v>
      </c>
      <c r="B7" s="45">
        <f>SUM(B5:B6)</f>
        <v>63528861.790068507</v>
      </c>
      <c r="C7" s="358">
        <f>SUM(C5:C6)</f>
        <v>49261288.559999987</v>
      </c>
      <c r="D7" s="53">
        <f>SUM(D5:D6)</f>
        <v>14267573.230068516</v>
      </c>
    </row>
    <row r="8" spans="1:9" s="47" customFormat="1" ht="15" customHeight="1" x14ac:dyDescent="0.25">
      <c r="A8" s="52"/>
      <c r="B8" s="54"/>
      <c r="C8" s="337"/>
      <c r="D8" s="55"/>
    </row>
    <row r="9" spans="1:9" ht="15" customHeight="1" x14ac:dyDescent="0.25">
      <c r="A9" s="56" t="s">
        <v>17</v>
      </c>
      <c r="B9" s="212">
        <f>+Apportionment!C12-B10-B19</f>
        <v>149950366.52508613</v>
      </c>
      <c r="C9" s="359">
        <v>143827714.64186066</v>
      </c>
      <c r="D9" s="51">
        <f t="shared" ref="D9:D21" si="0">+B9-C9</f>
        <v>6122651.8832254708</v>
      </c>
      <c r="E9" s="148" t="s">
        <v>172</v>
      </c>
      <c r="F9" s="238" t="s">
        <v>173</v>
      </c>
    </row>
    <row r="10" spans="1:9" ht="15.75" x14ac:dyDescent="0.25">
      <c r="A10" s="56" t="s">
        <v>18</v>
      </c>
      <c r="B10" s="212">
        <v>6771818</v>
      </c>
      <c r="C10" s="359">
        <v>6321035</v>
      </c>
      <c r="D10" s="51">
        <f t="shared" si="0"/>
        <v>450783</v>
      </c>
      <c r="E10" s="148">
        <f>+Apportionment!G275-'Income to be Allocated'!B10-F10</f>
        <v>75564059.378375262</v>
      </c>
      <c r="F10" s="148">
        <v>61474009</v>
      </c>
      <c r="G10" s="239">
        <f>SUM(E10:F10)</f>
        <v>137038068.37837526</v>
      </c>
      <c r="H10" s="43"/>
    </row>
    <row r="11" spans="1:9" ht="15.75" x14ac:dyDescent="0.25">
      <c r="A11" s="56" t="s">
        <v>19</v>
      </c>
      <c r="B11" s="212">
        <v>471702</v>
      </c>
      <c r="C11" s="359">
        <v>448452</v>
      </c>
      <c r="D11" s="51">
        <f t="shared" si="0"/>
        <v>23250</v>
      </c>
      <c r="E11" s="240">
        <f>1-F11</f>
        <v>0.55140925636616278</v>
      </c>
      <c r="F11" s="240">
        <f>+F10/G10</f>
        <v>0.44859074363383727</v>
      </c>
      <c r="G11" s="240">
        <f>SUM(E11:F11)</f>
        <v>1</v>
      </c>
      <c r="H11" s="43"/>
    </row>
    <row r="12" spans="1:9" ht="15.75" x14ac:dyDescent="0.25">
      <c r="A12" s="56" t="s">
        <v>20</v>
      </c>
      <c r="B12" s="212">
        <v>6072.05</v>
      </c>
      <c r="C12" s="359">
        <v>43372</v>
      </c>
      <c r="D12" s="51">
        <f t="shared" si="0"/>
        <v>-37299.949999999997</v>
      </c>
      <c r="E12" s="7">
        <f>(+B9+B19+B20)*E11</f>
        <v>83564413.611839563</v>
      </c>
      <c r="F12" s="238">
        <f>+B9+B19+B20-E12</f>
        <v>67982577.388160437</v>
      </c>
      <c r="G12" s="239">
        <f>SUM(E12:F12)</f>
        <v>151546991</v>
      </c>
      <c r="H12" s="372">
        <f>+B9+B19+B20</f>
        <v>151546991</v>
      </c>
    </row>
    <row r="13" spans="1:9" ht="15.75" x14ac:dyDescent="0.25">
      <c r="A13" s="56" t="s">
        <v>21</v>
      </c>
      <c r="B13" s="212">
        <v>724354.3</v>
      </c>
      <c r="C13" s="359">
        <v>719709</v>
      </c>
      <c r="D13" s="51">
        <f t="shared" si="0"/>
        <v>4645.3000000000466</v>
      </c>
      <c r="E13" s="148"/>
      <c r="F13" s="43"/>
    </row>
    <row r="14" spans="1:9" ht="15.75" x14ac:dyDescent="0.25">
      <c r="A14" s="56" t="s">
        <v>22</v>
      </c>
      <c r="B14" s="212">
        <f t="shared" ref="B14" si="1">+C14</f>
        <v>0</v>
      </c>
      <c r="C14" s="359">
        <v>0</v>
      </c>
      <c r="D14" s="51">
        <f t="shared" si="0"/>
        <v>0</v>
      </c>
      <c r="E14" s="148"/>
      <c r="F14" s="43"/>
    </row>
    <row r="15" spans="1:9" ht="15.75" x14ac:dyDescent="0.25">
      <c r="A15" s="404" t="s">
        <v>23</v>
      </c>
      <c r="B15" s="405">
        <v>0</v>
      </c>
      <c r="C15" s="359">
        <v>337040</v>
      </c>
      <c r="D15" s="51">
        <f t="shared" si="0"/>
        <v>-337040</v>
      </c>
      <c r="E15" s="406" t="s">
        <v>295</v>
      </c>
      <c r="F15" s="407"/>
      <c r="G15" s="408"/>
      <c r="H15" s="408"/>
      <c r="I15" s="408"/>
    </row>
    <row r="16" spans="1:9" ht="15.75" x14ac:dyDescent="0.25">
      <c r="A16" s="56" t="s">
        <v>24</v>
      </c>
      <c r="B16" s="212">
        <v>3530183</v>
      </c>
      <c r="C16" s="359">
        <v>3202945.45</v>
      </c>
      <c r="D16" s="51">
        <f t="shared" si="0"/>
        <v>327237.54999999981</v>
      </c>
      <c r="E16" s="148"/>
      <c r="F16" s="43">
        <f>+F14-F15</f>
        <v>0</v>
      </c>
    </row>
    <row r="17" spans="1:7" ht="15.75" x14ac:dyDescent="0.25">
      <c r="A17" s="56" t="s">
        <v>25</v>
      </c>
      <c r="B17" s="212">
        <v>645156</v>
      </c>
      <c r="C17" s="359">
        <v>671020</v>
      </c>
      <c r="D17" s="51">
        <f t="shared" si="0"/>
        <v>-25864</v>
      </c>
      <c r="E17" s="148"/>
      <c r="F17" s="43"/>
    </row>
    <row r="18" spans="1:7" ht="15.75" x14ac:dyDescent="0.25">
      <c r="A18" s="56" t="s">
        <v>26</v>
      </c>
      <c r="B18" s="212">
        <v>1552614.62</v>
      </c>
      <c r="C18" s="359">
        <v>928111</v>
      </c>
      <c r="D18" s="51">
        <f t="shared" si="0"/>
        <v>624503.62000000011</v>
      </c>
      <c r="E18" s="148"/>
      <c r="F18" s="43"/>
    </row>
    <row r="19" spans="1:7" ht="15.75" x14ac:dyDescent="0.25">
      <c r="A19" s="56" t="s">
        <v>234</v>
      </c>
      <c r="B19" s="212">
        <v>1001192</v>
      </c>
      <c r="C19" s="359">
        <v>1249974</v>
      </c>
      <c r="D19" s="51">
        <f t="shared" si="0"/>
        <v>-248782</v>
      </c>
      <c r="E19" s="148"/>
      <c r="F19" s="43"/>
      <c r="G19" s="43"/>
    </row>
    <row r="20" spans="1:7" ht="15.75" x14ac:dyDescent="0.25">
      <c r="A20" s="56" t="s">
        <v>166</v>
      </c>
      <c r="B20" s="212">
        <f>+Apportionment!D349</f>
        <v>595432.47491386475</v>
      </c>
      <c r="C20" s="359">
        <v>583275.5</v>
      </c>
      <c r="D20" s="51">
        <f t="shared" si="0"/>
        <v>12156.974913864746</v>
      </c>
      <c r="E20" s="148"/>
      <c r="F20" s="182"/>
    </row>
    <row r="21" spans="1:7" ht="16.5" thickBot="1" x14ac:dyDescent="0.3">
      <c r="A21" s="56" t="s">
        <v>27</v>
      </c>
      <c r="B21" s="212">
        <v>123691</v>
      </c>
      <c r="C21" s="359">
        <v>115143.67</v>
      </c>
      <c r="D21" s="51">
        <f t="shared" si="0"/>
        <v>8547.3300000000017</v>
      </c>
      <c r="E21" s="148"/>
      <c r="F21" s="43"/>
    </row>
    <row r="22" spans="1:7" s="61" customFormat="1" ht="16.5" thickBot="1" x14ac:dyDescent="0.3">
      <c r="A22" s="57" t="s">
        <v>67</v>
      </c>
      <c r="B22" s="58">
        <f>SUM(B9:B21)</f>
        <v>165372581.97000003</v>
      </c>
      <c r="C22" s="58">
        <f>SUM(C9:C21)</f>
        <v>158447792.26186064</v>
      </c>
      <c r="D22" s="59">
        <f>SUM(D9:D21)</f>
        <v>6924789.7081393348</v>
      </c>
      <c r="E22" s="60">
        <f>+D11+D12+D13+D15+D16+D17+D18+D21+D20</f>
        <v>600136.82491386472</v>
      </c>
      <c r="F22" s="60"/>
      <c r="G22" s="60"/>
    </row>
    <row r="23" spans="1:7" ht="15.75" x14ac:dyDescent="0.25">
      <c r="A23" s="62"/>
      <c r="B23" s="7"/>
      <c r="C23" s="16"/>
      <c r="D23" s="65"/>
      <c r="E23" s="43"/>
      <c r="F23" s="43"/>
    </row>
    <row r="24" spans="1:7" ht="12.75" customHeight="1" x14ac:dyDescent="0.25">
      <c r="A24" s="64"/>
      <c r="B24" s="7"/>
      <c r="C24" s="16"/>
      <c r="D24" s="63"/>
      <c r="E24" s="249"/>
      <c r="G24" s="43"/>
    </row>
    <row r="25" spans="1:7" ht="16.5" thickBot="1" x14ac:dyDescent="0.3">
      <c r="A25" s="72" t="s">
        <v>36</v>
      </c>
      <c r="B25" s="10">
        <f>+B7+B22</f>
        <v>228901443.76006854</v>
      </c>
      <c r="C25" s="10">
        <f>+C22+C7</f>
        <v>207709080.82186061</v>
      </c>
      <c r="D25" s="66">
        <f>+D7+D22</f>
        <v>21192362.93820785</v>
      </c>
      <c r="E25" s="257"/>
      <c r="F25" s="43"/>
    </row>
    <row r="26" spans="1:7" ht="15.75" x14ac:dyDescent="0.25">
      <c r="A26" s="64"/>
      <c r="B26" s="7"/>
      <c r="C26" s="16"/>
      <c r="D26" s="71"/>
    </row>
    <row r="27" spans="1:7" ht="14.25" x14ac:dyDescent="0.2">
      <c r="B27" s="310">
        <f>+Apportionment!C12</f>
        <v>157723376.52508613</v>
      </c>
      <c r="C27" s="310">
        <v>151398723.64186066</v>
      </c>
      <c r="D27" s="43"/>
      <c r="E27" s="43"/>
    </row>
    <row r="28" spans="1:7" ht="14.25" x14ac:dyDescent="0.2">
      <c r="B28" s="310">
        <f>+B9+B10+B19</f>
        <v>157723376.52508613</v>
      </c>
      <c r="C28" s="310">
        <f>+C9+C10+C19</f>
        <v>151398723.64186066</v>
      </c>
      <c r="D28" s="43"/>
    </row>
    <row r="29" spans="1:7" x14ac:dyDescent="0.2">
      <c r="B29" s="9">
        <f>+B27-B28</f>
        <v>0</v>
      </c>
      <c r="C29" s="9">
        <f>+C27-C28</f>
        <v>0</v>
      </c>
    </row>
    <row r="30" spans="1:7" x14ac:dyDescent="0.2">
      <c r="C30" s="26"/>
      <c r="D30" s="77"/>
    </row>
    <row r="31" spans="1:7" x14ac:dyDescent="0.2">
      <c r="D31" s="77"/>
    </row>
    <row r="32" spans="1:7" x14ac:dyDescent="0.2">
      <c r="A32" s="263"/>
      <c r="D32" s="77"/>
    </row>
    <row r="33" spans="2:3" s="204" customFormat="1" x14ac:dyDescent="0.2">
      <c r="B33" s="139"/>
      <c r="C33" s="139"/>
    </row>
  </sheetData>
  <phoneticPr fontId="0" type="noConversion"/>
  <pageMargins left="0.75" right="0.75" top="1" bottom="1" header="0.5" footer="0.5"/>
  <pageSetup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K352"/>
  <sheetViews>
    <sheetView topLeftCell="A321" workbookViewId="0">
      <selection activeCell="C347" sqref="C347"/>
    </sheetView>
  </sheetViews>
  <sheetFormatPr defaultRowHeight="12.75" x14ac:dyDescent="0.2"/>
  <cols>
    <col min="1" max="1" width="54.42578125" style="84" customWidth="1"/>
    <col min="2" max="2" width="19.42578125" style="218" customWidth="1"/>
    <col min="3" max="3" width="18.5703125" style="83" customWidth="1"/>
    <col min="4" max="4" width="21.42578125" style="83" customWidth="1"/>
    <col min="5" max="5" width="19.5703125" style="83" customWidth="1"/>
    <col min="6" max="6" width="21.140625" customWidth="1"/>
    <col min="7" max="7" width="38" bestFit="1" customWidth="1"/>
    <col min="8" max="8" width="56.5703125" bestFit="1" customWidth="1"/>
    <col min="9" max="9" width="17.5703125" customWidth="1"/>
    <col min="10" max="10" width="16.42578125" customWidth="1"/>
    <col min="11" max="11" width="14" bestFit="1" customWidth="1"/>
  </cols>
  <sheetData>
    <row r="1" spans="1:9" ht="18" x14ac:dyDescent="0.25">
      <c r="A1" s="150" t="s">
        <v>5</v>
      </c>
      <c r="B1" s="210"/>
      <c r="C1" s="81"/>
      <c r="D1" s="81"/>
      <c r="E1" s="81"/>
    </row>
    <row r="2" spans="1:9" ht="18" x14ac:dyDescent="0.25">
      <c r="A2" s="150" t="s">
        <v>270</v>
      </c>
      <c r="B2" s="210"/>
      <c r="C2" s="81"/>
      <c r="D2" s="81"/>
      <c r="E2" s="81"/>
    </row>
    <row r="3" spans="1:9" x14ac:dyDescent="0.2">
      <c r="A3" s="82"/>
      <c r="B3" s="210"/>
      <c r="C3" s="81"/>
      <c r="D3" s="81"/>
      <c r="E3" s="81"/>
    </row>
    <row r="4" spans="1:9" s="166" customFormat="1" ht="32.25" thickBot="1" x14ac:dyDescent="0.3">
      <c r="A4" s="68" t="s">
        <v>0</v>
      </c>
      <c r="B4" s="211" t="s">
        <v>296</v>
      </c>
      <c r="C4" s="162" t="s">
        <v>297</v>
      </c>
      <c r="D4" s="163"/>
      <c r="E4" s="164"/>
      <c r="F4" s="165"/>
      <c r="G4" s="165"/>
    </row>
    <row r="5" spans="1:9" s="34" customFormat="1" ht="15.75" x14ac:dyDescent="0.25">
      <c r="A5" s="154" t="s">
        <v>156</v>
      </c>
      <c r="B5" s="7">
        <v>151398723.64186066</v>
      </c>
      <c r="C5" s="155">
        <f>+D342</f>
        <v>157723376.52508613</v>
      </c>
      <c r="D5" s="155"/>
      <c r="E5" s="7"/>
      <c r="F5" s="191"/>
      <c r="G5" s="191"/>
    </row>
    <row r="6" spans="1:9" s="34" customFormat="1" ht="15.75" x14ac:dyDescent="0.25">
      <c r="A6" s="184" t="s">
        <v>44</v>
      </c>
      <c r="B6" s="212">
        <v>0</v>
      </c>
      <c r="C6" s="397">
        <f>+G338</f>
        <v>0</v>
      </c>
      <c r="D6" s="338"/>
      <c r="E6" s="156"/>
      <c r="G6" s="157"/>
    </row>
    <row r="7" spans="1:9" s="34" customFormat="1" ht="15.75" x14ac:dyDescent="0.25">
      <c r="A7" s="184" t="s">
        <v>215</v>
      </c>
      <c r="B7" s="212">
        <v>0</v>
      </c>
      <c r="C7" s="159">
        <f>+'FTES Growth Allocations'!E29+'FTES Decline Mechanism'!E30</f>
        <v>0</v>
      </c>
      <c r="D7" s="323"/>
      <c r="E7" s="156"/>
      <c r="F7" s="191"/>
      <c r="G7" s="157"/>
    </row>
    <row r="8" spans="1:9" s="34" customFormat="1" ht="15.75" x14ac:dyDescent="0.25">
      <c r="A8" s="154" t="s">
        <v>95</v>
      </c>
      <c r="B8" s="212">
        <v>0</v>
      </c>
      <c r="C8" s="159">
        <f>IF('FTES Decline Mechanism'!B43="Yes",'FTES Decline Mechanism'!E30,0)</f>
        <v>0</v>
      </c>
      <c r="D8" s="158"/>
      <c r="E8" s="156"/>
      <c r="F8" s="248"/>
      <c r="G8" s="157"/>
    </row>
    <row r="9" spans="1:9" s="34" customFormat="1" ht="15.75" x14ac:dyDescent="0.25">
      <c r="A9" s="154" t="s">
        <v>96</v>
      </c>
      <c r="B9" s="212">
        <v>0</v>
      </c>
      <c r="C9" s="159">
        <v>0</v>
      </c>
      <c r="D9" s="158"/>
      <c r="E9" s="156"/>
      <c r="F9" s="191"/>
      <c r="G9" s="157"/>
    </row>
    <row r="10" spans="1:9" s="34" customFormat="1" ht="15.75" x14ac:dyDescent="0.25">
      <c r="A10" s="154" t="s">
        <v>155</v>
      </c>
      <c r="B10" s="7">
        <v>0</v>
      </c>
      <c r="C10" s="7">
        <v>0</v>
      </c>
      <c r="D10" s="155"/>
      <c r="E10" s="156"/>
      <c r="F10" s="157"/>
      <c r="G10" s="157"/>
    </row>
    <row r="11" spans="1:9" s="34" customFormat="1" ht="16.5" thickBot="1" x14ac:dyDescent="0.3">
      <c r="A11" s="201" t="s">
        <v>209</v>
      </c>
      <c r="B11" s="212">
        <v>0</v>
      </c>
      <c r="C11" s="212">
        <v>0</v>
      </c>
      <c r="D11" s="322"/>
      <c r="E11" s="156"/>
      <c r="F11" s="157"/>
      <c r="G11" s="157"/>
    </row>
    <row r="12" spans="1:9" s="34" customFormat="1" ht="16.5" thickBot="1" x14ac:dyDescent="0.3">
      <c r="A12" s="67" t="s">
        <v>4</v>
      </c>
      <c r="B12" s="213">
        <f>SUM(B5:B11)</f>
        <v>151398723.64186066</v>
      </c>
      <c r="C12" s="213">
        <f>SUM(C5:C11)</f>
        <v>157723376.52508613</v>
      </c>
      <c r="D12" s="258"/>
      <c r="E12" s="258"/>
      <c r="F12" s="191"/>
      <c r="G12" s="191"/>
      <c r="I12" s="152"/>
    </row>
    <row r="13" spans="1:9" s="34" customFormat="1" ht="15.75" x14ac:dyDescent="0.25">
      <c r="A13" s="67"/>
      <c r="B13" s="214"/>
      <c r="C13" s="175"/>
      <c r="D13" s="160"/>
      <c r="E13" s="160"/>
      <c r="F13" s="248"/>
      <c r="G13" s="157"/>
    </row>
    <row r="14" spans="1:9" s="174" customFormat="1" ht="15.75" x14ac:dyDescent="0.25">
      <c r="A14" s="170"/>
      <c r="B14" s="256"/>
      <c r="C14" s="202"/>
      <c r="D14" s="322"/>
      <c r="E14" s="172"/>
      <c r="F14" s="173"/>
      <c r="G14" s="173"/>
    </row>
    <row r="15" spans="1:9" s="174" customFormat="1" ht="15.75" x14ac:dyDescent="0.25">
      <c r="A15" s="170"/>
      <c r="B15" s="215"/>
      <c r="C15" s="171"/>
      <c r="D15" s="148"/>
      <c r="E15" s="156"/>
      <c r="F15" s="173"/>
      <c r="G15" s="173"/>
    </row>
    <row r="16" spans="1:9" s="174" customFormat="1" ht="15.75" x14ac:dyDescent="0.25">
      <c r="A16" s="201"/>
      <c r="B16" s="258"/>
      <c r="C16" s="167"/>
      <c r="D16" s="235"/>
      <c r="E16" s="237"/>
      <c r="F16" s="173"/>
      <c r="G16" s="173"/>
    </row>
    <row r="17" spans="1:7" s="149" customFormat="1" ht="15.75" x14ac:dyDescent="0.25">
      <c r="A17" s="168"/>
      <c r="B17" s="216"/>
      <c r="C17" s="216"/>
      <c r="D17" s="235"/>
      <c r="E17" s="248"/>
      <c r="F17" s="169"/>
      <c r="G17" s="169"/>
    </row>
    <row r="18" spans="1:7" x14ac:dyDescent="0.2">
      <c r="B18" s="217"/>
      <c r="F18" s="182"/>
    </row>
    <row r="19" spans="1:7" x14ac:dyDescent="0.2">
      <c r="A19" s="85"/>
      <c r="B19" s="85"/>
      <c r="C19" s="86"/>
      <c r="D19" s="86"/>
      <c r="E19" s="86"/>
    </row>
    <row r="20" spans="1:7" hidden="1" x14ac:dyDescent="0.2"/>
    <row r="21" spans="1:7" ht="26.25" hidden="1" x14ac:dyDescent="0.4">
      <c r="A21" s="193" t="s">
        <v>151</v>
      </c>
    </row>
    <row r="22" spans="1:7" s="4" customFormat="1" ht="15.75" hidden="1" x14ac:dyDescent="0.25">
      <c r="A22" s="184" t="s">
        <v>143</v>
      </c>
      <c r="B22" s="219"/>
      <c r="C22" s="26"/>
      <c r="D22" s="26">
        <f>12500000+740000.61</f>
        <v>13240000.609999999</v>
      </c>
      <c r="E22" s="26"/>
    </row>
    <row r="23" spans="1:7" s="4" customFormat="1" ht="15" hidden="1" x14ac:dyDescent="0.2">
      <c r="A23" s="161" t="s">
        <v>141</v>
      </c>
      <c r="B23" s="23">
        <v>18087.05</v>
      </c>
      <c r="C23" s="26">
        <v>4367</v>
      </c>
      <c r="D23" s="26">
        <f>+C23*B23</f>
        <v>78986147.349999994</v>
      </c>
      <c r="E23" s="26"/>
    </row>
    <row r="24" spans="1:7" s="4" customFormat="1" ht="15.75" hidden="1" thickBot="1" x14ac:dyDescent="0.25">
      <c r="A24" s="161" t="s">
        <v>142</v>
      </c>
      <c r="B24" s="23">
        <v>200.54</v>
      </c>
      <c r="C24" s="26">
        <v>2626</v>
      </c>
      <c r="D24" s="26">
        <f>+C24*B24</f>
        <v>526618.04</v>
      </c>
      <c r="E24" s="26"/>
    </row>
    <row r="25" spans="1:7" s="4" customFormat="1" ht="15.75" hidden="1" thickBot="1" x14ac:dyDescent="0.25">
      <c r="A25" s="161" t="s">
        <v>144</v>
      </c>
      <c r="B25" s="23"/>
      <c r="C25" s="26"/>
      <c r="D25" s="42">
        <f>SUM(D22:D24)</f>
        <v>92752766</v>
      </c>
      <c r="E25" s="26"/>
    </row>
    <row r="26" spans="1:7" hidden="1" x14ac:dyDescent="0.2"/>
    <row r="27" spans="1:7" s="34" customFormat="1" ht="15.75" hidden="1" thickBot="1" x14ac:dyDescent="0.25">
      <c r="A27" s="144" t="s">
        <v>146</v>
      </c>
      <c r="B27" s="220"/>
      <c r="C27" s="27"/>
      <c r="D27" s="183">
        <v>89856052</v>
      </c>
      <c r="E27" s="27"/>
    </row>
    <row r="28" spans="1:7" hidden="1" x14ac:dyDescent="0.2"/>
    <row r="29" spans="1:7" s="34" customFormat="1" ht="15.75" hidden="1" thickBot="1" x14ac:dyDescent="0.25">
      <c r="A29" s="144" t="s">
        <v>94</v>
      </c>
      <c r="B29" s="220"/>
      <c r="C29" s="27"/>
      <c r="D29" s="183">
        <f>+D25-D27</f>
        <v>2896714</v>
      </c>
      <c r="E29" s="27"/>
    </row>
    <row r="30" spans="1:7" hidden="1" x14ac:dyDescent="0.2"/>
    <row r="31" spans="1:7" ht="15.75" hidden="1" x14ac:dyDescent="0.25">
      <c r="A31" s="184" t="s">
        <v>145</v>
      </c>
    </row>
    <row r="32" spans="1:7" ht="15" hidden="1" x14ac:dyDescent="0.2">
      <c r="A32" s="161" t="s">
        <v>141</v>
      </c>
      <c r="B32" s="30">
        <v>72.42</v>
      </c>
      <c r="C32" s="26">
        <v>4367</v>
      </c>
      <c r="D32" s="26">
        <f>+C32*B32</f>
        <v>316258.14</v>
      </c>
    </row>
    <row r="33" spans="1:11" ht="15.75" hidden="1" thickBot="1" x14ac:dyDescent="0.25">
      <c r="A33" s="161" t="s">
        <v>142</v>
      </c>
      <c r="B33" s="30">
        <v>15.29</v>
      </c>
      <c r="C33" s="26">
        <v>2626</v>
      </c>
      <c r="D33" s="26">
        <f>+C33*B33</f>
        <v>40151.54</v>
      </c>
    </row>
    <row r="34" spans="1:11" ht="15.75" hidden="1" thickBot="1" x14ac:dyDescent="0.25">
      <c r="A34" s="161" t="s">
        <v>144</v>
      </c>
      <c r="D34" s="42">
        <f>SUM(D31:D33)</f>
        <v>356409.68</v>
      </c>
    </row>
    <row r="35" spans="1:11" hidden="1" x14ac:dyDescent="0.2"/>
    <row r="36" spans="1:11" hidden="1" x14ac:dyDescent="0.2"/>
    <row r="37" spans="1:11" hidden="1" x14ac:dyDescent="0.2">
      <c r="A37" s="84" t="s">
        <v>148</v>
      </c>
      <c r="B37" s="221">
        <f>+B32+B33</f>
        <v>87.710000000000008</v>
      </c>
      <c r="C37" s="192">
        <v>6.13</v>
      </c>
      <c r="D37" s="192">
        <f>+C37*525*B37</f>
        <v>282272.70750000002</v>
      </c>
    </row>
    <row r="38" spans="1:11" hidden="1" x14ac:dyDescent="0.2"/>
    <row r="39" spans="1:11" hidden="1" x14ac:dyDescent="0.2"/>
    <row r="40" spans="1:11" ht="26.25" hidden="1" x14ac:dyDescent="0.4">
      <c r="A40" s="193" t="s">
        <v>152</v>
      </c>
      <c r="K40" s="182"/>
    </row>
    <row r="41" spans="1:11" ht="15.75" hidden="1" x14ac:dyDescent="0.25">
      <c r="A41" s="184" t="s">
        <v>143</v>
      </c>
      <c r="B41" s="219"/>
      <c r="C41" s="26"/>
      <c r="D41" s="26">
        <v>14116567</v>
      </c>
    </row>
    <row r="42" spans="1:11" ht="15" hidden="1" x14ac:dyDescent="0.2">
      <c r="A42" s="161" t="s">
        <v>141</v>
      </c>
      <c r="B42" s="23">
        <v>18794.009999999998</v>
      </c>
      <c r="C42" s="26">
        <v>4564.83</v>
      </c>
      <c r="D42" s="26">
        <f>+C42*B42-91.87</f>
        <v>85791368.798299983</v>
      </c>
    </row>
    <row r="43" spans="1:11" ht="15.75" hidden="1" thickBot="1" x14ac:dyDescent="0.25">
      <c r="A43" s="161" t="s">
        <v>142</v>
      </c>
      <c r="B43" s="30">
        <v>242.92</v>
      </c>
      <c r="C43" s="26">
        <v>2744.9578000000001</v>
      </c>
      <c r="D43" s="26">
        <f>+C43*B43</f>
        <v>666805.14877600002</v>
      </c>
    </row>
    <row r="44" spans="1:11" ht="15.75" hidden="1" thickBot="1" x14ac:dyDescent="0.25">
      <c r="A44" s="161" t="s">
        <v>149</v>
      </c>
      <c r="B44" s="23">
        <f>SUM(B42:B43)</f>
        <v>19036.929999999997</v>
      </c>
      <c r="C44" s="26"/>
      <c r="D44" s="42">
        <f>SUM(D41:D43)</f>
        <v>100574740.94707598</v>
      </c>
    </row>
    <row r="45" spans="1:11" ht="15" hidden="1" x14ac:dyDescent="0.2">
      <c r="E45" s="203"/>
      <c r="F45" s="196"/>
      <c r="G45" s="196"/>
      <c r="H45" s="204"/>
      <c r="I45" s="205"/>
      <c r="J45" s="205"/>
    </row>
    <row r="46" spans="1:11" ht="15.75" hidden="1" thickBot="1" x14ac:dyDescent="0.25">
      <c r="A46" s="144" t="s">
        <v>150</v>
      </c>
      <c r="B46" s="220"/>
      <c r="C46" s="27"/>
      <c r="D46" s="183">
        <f>+D44-D48</f>
        <v>96954488.947075978</v>
      </c>
      <c r="E46" s="198"/>
      <c r="F46" s="198"/>
      <c r="G46" s="198"/>
      <c r="H46" s="198"/>
      <c r="I46" s="206"/>
      <c r="J46" s="198"/>
    </row>
    <row r="47" spans="1:11" hidden="1" x14ac:dyDescent="0.2">
      <c r="E47" s="198"/>
      <c r="F47" s="198"/>
      <c r="G47" s="198"/>
      <c r="H47" s="198"/>
      <c r="I47" s="206"/>
      <c r="J47" s="206"/>
    </row>
    <row r="48" spans="1:11" ht="15.75" hidden="1" thickBot="1" x14ac:dyDescent="0.25">
      <c r="A48" s="144" t="s">
        <v>94</v>
      </c>
      <c r="B48" s="220"/>
      <c r="C48" s="27"/>
      <c r="D48" s="183">
        <f>2539977+1080275</f>
        <v>3620252</v>
      </c>
      <c r="E48" s="198"/>
      <c r="F48" s="209"/>
      <c r="G48" s="198"/>
      <c r="H48" s="204"/>
      <c r="I48" s="198"/>
      <c r="J48" s="198"/>
      <c r="K48" s="182">
        <f>+D48-I48-J48</f>
        <v>3620252</v>
      </c>
    </row>
    <row r="49" spans="1:10" ht="13.5" hidden="1" thickBot="1" x14ac:dyDescent="0.25">
      <c r="F49" s="208"/>
      <c r="G49" s="182"/>
      <c r="J49" s="182"/>
    </row>
    <row r="50" spans="1:10" ht="16.5" hidden="1" thickBot="1" x14ac:dyDescent="0.3">
      <c r="A50" s="184" t="s">
        <v>145</v>
      </c>
      <c r="E50" s="431" t="s">
        <v>154</v>
      </c>
      <c r="F50" s="432"/>
      <c r="G50" s="433"/>
      <c r="H50" s="196"/>
    </row>
    <row r="51" spans="1:10" ht="15" hidden="1" x14ac:dyDescent="0.2">
      <c r="A51" s="161" t="s">
        <v>141</v>
      </c>
      <c r="B51" s="152">
        <f>213.7-23.31-5.2-0.32</f>
        <v>184.87</v>
      </c>
      <c r="C51" s="26">
        <v>4564.83</v>
      </c>
      <c r="D51" s="26">
        <f>+B51*C51</f>
        <v>843900.12210000004</v>
      </c>
      <c r="E51" s="207">
        <f>(+B51-B32)*C51</f>
        <v>513315.1335</v>
      </c>
      <c r="F51" s="198">
        <f>(+B52-B33)*C52</f>
        <v>-41970.404761999998</v>
      </c>
      <c r="G51" s="198">
        <f>+E51+F51</f>
        <v>471344.72873799998</v>
      </c>
      <c r="H51" s="198"/>
      <c r="J51" s="182"/>
    </row>
    <row r="52" spans="1:10" ht="15.75" hidden="1" thickBot="1" x14ac:dyDescent="0.25">
      <c r="A52" s="161" t="s">
        <v>142</v>
      </c>
      <c r="B52" s="30">
        <v>0</v>
      </c>
      <c r="C52" s="26">
        <v>2744.9578000000001</v>
      </c>
      <c r="D52" s="26">
        <f>+C52*B52</f>
        <v>0</v>
      </c>
      <c r="E52" s="207"/>
      <c r="F52" s="198"/>
      <c r="G52" s="198"/>
      <c r="H52" s="198"/>
      <c r="J52" s="182"/>
    </row>
    <row r="53" spans="1:10" ht="15.75" hidden="1" thickBot="1" x14ac:dyDescent="0.25">
      <c r="A53" s="161" t="s">
        <v>149</v>
      </c>
      <c r="D53" s="42">
        <f>SUM(D50:D52)</f>
        <v>843900.12210000004</v>
      </c>
      <c r="E53" s="197"/>
      <c r="F53" s="197"/>
      <c r="G53" s="197"/>
      <c r="H53" s="197"/>
    </row>
    <row r="54" spans="1:10" hidden="1" x14ac:dyDescent="0.2">
      <c r="H54" s="182"/>
    </row>
    <row r="55" spans="1:10" hidden="1" x14ac:dyDescent="0.2"/>
    <row r="56" spans="1:10" hidden="1" x14ac:dyDescent="0.2">
      <c r="A56" s="84" t="s">
        <v>148</v>
      </c>
      <c r="B56" s="221">
        <f>+B51+B52</f>
        <v>184.87</v>
      </c>
      <c r="C56" s="192">
        <v>6.13</v>
      </c>
      <c r="D56" s="192">
        <f>+C56*525*B56</f>
        <v>594957.87750000006</v>
      </c>
    </row>
    <row r="57" spans="1:10" hidden="1" x14ac:dyDescent="0.2"/>
    <row r="58" spans="1:10" hidden="1" x14ac:dyDescent="0.2"/>
    <row r="59" spans="1:10" hidden="1" x14ac:dyDescent="0.2"/>
    <row r="60" spans="1:10" hidden="1" x14ac:dyDescent="0.2"/>
    <row r="61" spans="1:10" ht="26.25" hidden="1" x14ac:dyDescent="0.4">
      <c r="A61" s="193" t="s">
        <v>157</v>
      </c>
    </row>
    <row r="62" spans="1:10" ht="15.75" hidden="1" x14ac:dyDescent="0.25">
      <c r="A62" s="184" t="s">
        <v>143</v>
      </c>
      <c r="B62" s="219"/>
      <c r="C62" s="26"/>
      <c r="D62" s="26">
        <v>14116567</v>
      </c>
    </row>
    <row r="63" spans="1:10" ht="15" hidden="1" x14ac:dyDescent="0.2">
      <c r="A63" s="161" t="s">
        <v>141</v>
      </c>
      <c r="B63" s="30">
        <v>19807.34</v>
      </c>
      <c r="C63" s="26">
        <v>4564.83</v>
      </c>
      <c r="D63" s="26">
        <f>85791353+4745713</f>
        <v>90537066</v>
      </c>
    </row>
    <row r="64" spans="1:10" ht="15" hidden="1" x14ac:dyDescent="0.2">
      <c r="A64" s="161" t="s">
        <v>142</v>
      </c>
      <c r="B64" s="30">
        <v>315.41000000000003</v>
      </c>
      <c r="C64" s="26">
        <v>2744.9578000000001</v>
      </c>
      <c r="D64" s="26">
        <f>666798-182457+9721</f>
        <v>494062</v>
      </c>
    </row>
    <row r="65" spans="1:9" ht="15.75" hidden="1" thickBot="1" x14ac:dyDescent="0.25">
      <c r="A65" s="161" t="s">
        <v>160</v>
      </c>
      <c r="B65" s="30">
        <v>0.9</v>
      </c>
      <c r="C65" s="26">
        <v>3232.0675999999999</v>
      </c>
      <c r="D65" s="26">
        <v>0</v>
      </c>
    </row>
    <row r="66" spans="1:9" ht="15.75" hidden="1" thickBot="1" x14ac:dyDescent="0.25">
      <c r="A66" s="161" t="s">
        <v>158</v>
      </c>
      <c r="B66" s="222">
        <f>SUM(B63:B65)</f>
        <v>20123.650000000001</v>
      </c>
      <c r="C66" s="26"/>
      <c r="D66" s="42">
        <f>SUM(D62:D65)</f>
        <v>105147695</v>
      </c>
      <c r="F66" s="182"/>
    </row>
    <row r="67" spans="1:9" ht="15" hidden="1" x14ac:dyDescent="0.2">
      <c r="E67" s="203"/>
      <c r="F67" s="196"/>
      <c r="G67" s="196"/>
    </row>
    <row r="68" spans="1:9" ht="15.75" hidden="1" thickBot="1" x14ac:dyDescent="0.25">
      <c r="A68" s="144" t="s">
        <v>159</v>
      </c>
      <c r="B68" s="220"/>
      <c r="C68" s="27"/>
      <c r="D68" s="183">
        <f>+D66-D70</f>
        <v>100574718</v>
      </c>
      <c r="E68" s="198"/>
      <c r="F68" s="198"/>
      <c r="G68" s="198"/>
    </row>
    <row r="69" spans="1:9" hidden="1" x14ac:dyDescent="0.2">
      <c r="E69" s="198"/>
      <c r="F69" s="198"/>
      <c r="G69" s="198"/>
    </row>
    <row r="70" spans="1:9" ht="15.75" hidden="1" thickBot="1" x14ac:dyDescent="0.25">
      <c r="A70" s="144" t="s">
        <v>94</v>
      </c>
      <c r="B70" s="220"/>
      <c r="C70" s="27"/>
      <c r="D70" s="183">
        <v>4572977</v>
      </c>
      <c r="E70" s="198"/>
      <c r="F70" s="209"/>
      <c r="G70" s="198"/>
      <c r="H70" s="182"/>
      <c r="I70" s="182"/>
    </row>
    <row r="71" spans="1:9" ht="13.5" hidden="1" thickBot="1" x14ac:dyDescent="0.25">
      <c r="F71" s="208"/>
      <c r="G71" s="182"/>
    </row>
    <row r="72" spans="1:9" ht="16.5" hidden="1" thickBot="1" x14ac:dyDescent="0.3">
      <c r="A72" s="184" t="s">
        <v>145</v>
      </c>
      <c r="E72" s="431" t="s">
        <v>154</v>
      </c>
      <c r="F72" s="432"/>
      <c r="G72" s="433"/>
    </row>
    <row r="73" spans="1:9" ht="15" hidden="1" x14ac:dyDescent="0.2">
      <c r="A73" s="161" t="s">
        <v>141</v>
      </c>
      <c r="B73" s="30">
        <f>+'Budget Premisis'!B39</f>
        <v>93</v>
      </c>
      <c r="C73" s="26">
        <v>4564.83</v>
      </c>
      <c r="D73" s="26">
        <f>+B73*C73</f>
        <v>424529.19</v>
      </c>
      <c r="E73" s="207">
        <f>(+B73-B51)*C73</f>
        <v>-419370.93210000003</v>
      </c>
      <c r="F73" s="198">
        <f>(+B74-B54)*C74</f>
        <v>0</v>
      </c>
      <c r="G73" s="198">
        <f>+E73+F73</f>
        <v>-419370.93210000003</v>
      </c>
    </row>
    <row r="74" spans="1:9" ht="15.75" hidden="1" thickBot="1" x14ac:dyDescent="0.25">
      <c r="A74" s="161" t="s">
        <v>142</v>
      </c>
      <c r="B74" s="30">
        <f>+'Budget Premisis'!C32</f>
        <v>0</v>
      </c>
      <c r="C74" s="26">
        <v>2744.9578000000001</v>
      </c>
      <c r="D74" s="26">
        <f>+C74*B74</f>
        <v>0</v>
      </c>
      <c r="E74" s="197"/>
      <c r="F74" s="198"/>
      <c r="G74" s="198"/>
    </row>
    <row r="75" spans="1:9" ht="15.75" hidden="1" thickBot="1" x14ac:dyDescent="0.25">
      <c r="A75" s="161" t="s">
        <v>158</v>
      </c>
      <c r="B75" s="225">
        <f>SUM(B73:B74)</f>
        <v>93</v>
      </c>
      <c r="D75" s="42">
        <f>SUM(D72:D74)</f>
        <v>424529.19</v>
      </c>
      <c r="E75" s="197"/>
      <c r="F75" s="197"/>
      <c r="G75" s="197"/>
    </row>
    <row r="76" spans="1:9" hidden="1" x14ac:dyDescent="0.2"/>
    <row r="77" spans="1:9" hidden="1" x14ac:dyDescent="0.2"/>
    <row r="78" spans="1:9" ht="15" hidden="1" x14ac:dyDescent="0.2">
      <c r="A78" s="84" t="s">
        <v>148</v>
      </c>
      <c r="B78" s="224">
        <f>+B73+B74</f>
        <v>93</v>
      </c>
      <c r="C78" s="237">
        <v>6.13</v>
      </c>
      <c r="D78" s="237">
        <f>+C78*525*B78</f>
        <v>299297.25</v>
      </c>
    </row>
    <row r="79" spans="1:9" hidden="1" x14ac:dyDescent="0.2"/>
    <row r="80" spans="1:9" hidden="1" x14ac:dyDescent="0.2"/>
    <row r="81" spans="1:7" hidden="1" x14ac:dyDescent="0.2"/>
    <row r="82" spans="1:7" ht="26.25" hidden="1" x14ac:dyDescent="0.4">
      <c r="A82" s="193" t="s">
        <v>170</v>
      </c>
    </row>
    <row r="83" spans="1:7" ht="15.75" hidden="1" x14ac:dyDescent="0.25">
      <c r="A83" s="184" t="s">
        <v>143</v>
      </c>
      <c r="B83" s="219"/>
      <c r="C83" s="26"/>
      <c r="D83" s="26">
        <v>14116567</v>
      </c>
    </row>
    <row r="84" spans="1:7" ht="15" hidden="1" x14ac:dyDescent="0.2">
      <c r="A84" s="161" t="s">
        <v>141</v>
      </c>
      <c r="B84" s="30">
        <f>+'Budget Premisis'!B33</f>
        <v>21436.61</v>
      </c>
      <c r="C84" s="26">
        <v>4564.83</v>
      </c>
      <c r="D84" s="26">
        <v>87015006</v>
      </c>
    </row>
    <row r="85" spans="1:7" ht="15" hidden="1" x14ac:dyDescent="0.2">
      <c r="A85" s="161" t="s">
        <v>142</v>
      </c>
      <c r="B85" s="30">
        <f>+'Budget Premisis'!C33-0.16</f>
        <v>117.62</v>
      </c>
      <c r="C85" s="26">
        <v>2744.9578000000001</v>
      </c>
      <c r="D85" s="26">
        <v>484341</v>
      </c>
    </row>
    <row r="86" spans="1:7" ht="15.75" hidden="1" thickBot="1" x14ac:dyDescent="0.25">
      <c r="A86" s="161" t="s">
        <v>160</v>
      </c>
      <c r="B86" s="30">
        <v>0.16</v>
      </c>
      <c r="C86" s="26">
        <v>3232.0675999999999</v>
      </c>
      <c r="D86" s="26">
        <v>9721</v>
      </c>
    </row>
    <row r="87" spans="1:7" ht="15.75" hidden="1" thickBot="1" x14ac:dyDescent="0.25">
      <c r="A87" s="161" t="s">
        <v>177</v>
      </c>
      <c r="B87" s="222">
        <f>SUM(B84:B86)</f>
        <v>21554.39</v>
      </c>
      <c r="C87" s="26"/>
      <c r="D87" s="42">
        <f>SUM(D83:D86)</f>
        <v>101625635</v>
      </c>
      <c r="F87" s="182"/>
    </row>
    <row r="88" spans="1:7" ht="15" hidden="1" x14ac:dyDescent="0.2">
      <c r="E88" s="203"/>
      <c r="F88" s="196"/>
      <c r="G88" s="196"/>
    </row>
    <row r="89" spans="1:7" ht="15.75" hidden="1" thickBot="1" x14ac:dyDescent="0.25">
      <c r="A89" s="161" t="s">
        <v>171</v>
      </c>
      <c r="B89" s="220"/>
      <c r="C89" s="27"/>
      <c r="D89" s="183">
        <f>+D87-D91</f>
        <v>101625635</v>
      </c>
      <c r="E89" s="198"/>
      <c r="F89" s="198"/>
      <c r="G89" s="198"/>
    </row>
    <row r="90" spans="1:7" hidden="1" x14ac:dyDescent="0.2">
      <c r="E90" s="198"/>
      <c r="F90" s="198"/>
      <c r="G90" s="198"/>
    </row>
    <row r="91" spans="1:7" ht="15.75" hidden="1" thickBot="1" x14ac:dyDescent="0.25">
      <c r="A91" s="144" t="s">
        <v>94</v>
      </c>
      <c r="B91" s="220"/>
      <c r="C91" s="27"/>
      <c r="D91" s="183">
        <v>0</v>
      </c>
      <c r="E91" s="198"/>
      <c r="F91" s="209"/>
      <c r="G91" s="198"/>
    </row>
    <row r="92" spans="1:7" ht="13.5" hidden="1" thickBot="1" x14ac:dyDescent="0.25">
      <c r="F92" s="208"/>
      <c r="G92" s="182"/>
    </row>
    <row r="93" spans="1:7" ht="16.5" hidden="1" thickBot="1" x14ac:dyDescent="0.3">
      <c r="A93" s="184" t="s">
        <v>145</v>
      </c>
      <c r="E93" s="431" t="s">
        <v>154</v>
      </c>
      <c r="F93" s="432"/>
      <c r="G93" s="433"/>
    </row>
    <row r="94" spans="1:7" ht="15" hidden="1" x14ac:dyDescent="0.2">
      <c r="A94" s="161" t="s">
        <v>141</v>
      </c>
      <c r="B94" s="30">
        <f>+'Budget Premisis'!B32</f>
        <v>93</v>
      </c>
      <c r="C94" s="26">
        <v>4564.83</v>
      </c>
      <c r="D94" s="26">
        <f>+B94*C94</f>
        <v>424529.19</v>
      </c>
      <c r="E94" s="207">
        <f>(+B94-B73)*C94</f>
        <v>0</v>
      </c>
      <c r="F94" s="198">
        <v>0</v>
      </c>
      <c r="G94" s="198"/>
    </row>
    <row r="95" spans="1:7" ht="15.75" hidden="1" thickBot="1" x14ac:dyDescent="0.25">
      <c r="A95" s="161" t="s">
        <v>142</v>
      </c>
      <c r="B95" s="30">
        <f>+'Budget Premisis'!C53</f>
        <v>0</v>
      </c>
      <c r="C95" s="26">
        <v>2744.9578000000001</v>
      </c>
      <c r="D95" s="26">
        <f>+C95*B95</f>
        <v>0</v>
      </c>
      <c r="E95" s="197"/>
      <c r="F95" s="198"/>
      <c r="G95" s="198"/>
    </row>
    <row r="96" spans="1:7" ht="15.75" hidden="1" thickBot="1" x14ac:dyDescent="0.25">
      <c r="A96" s="161" t="s">
        <v>177</v>
      </c>
      <c r="B96" s="225">
        <f>SUM(B94:B95)</f>
        <v>93</v>
      </c>
      <c r="D96" s="42">
        <f>SUM(D93:D95)</f>
        <v>424529.19</v>
      </c>
      <c r="E96" s="197"/>
      <c r="F96" s="197"/>
      <c r="G96" s="197"/>
    </row>
    <row r="97" spans="1:4" hidden="1" x14ac:dyDescent="0.2"/>
    <row r="98" spans="1:4" hidden="1" x14ac:dyDescent="0.2"/>
    <row r="99" spans="1:4" ht="15" hidden="1" x14ac:dyDescent="0.2">
      <c r="A99" s="84" t="s">
        <v>148</v>
      </c>
      <c r="B99" s="224">
        <f>+B94+B95</f>
        <v>93</v>
      </c>
      <c r="C99" s="237">
        <v>6.13</v>
      </c>
      <c r="D99" s="37">
        <f>+C99*525*B99</f>
        <v>299297.25</v>
      </c>
    </row>
    <row r="100" spans="1:4" ht="15" x14ac:dyDescent="0.2">
      <c r="D100" s="26"/>
    </row>
    <row r="101" spans="1:4" ht="15" hidden="1" x14ac:dyDescent="0.2">
      <c r="D101" s="26"/>
    </row>
    <row r="102" spans="1:4" hidden="1" x14ac:dyDescent="0.2"/>
    <row r="103" spans="1:4" ht="26.25" hidden="1" x14ac:dyDescent="0.4">
      <c r="A103" s="193" t="s">
        <v>175</v>
      </c>
    </row>
    <row r="104" spans="1:4" ht="15.75" hidden="1" x14ac:dyDescent="0.25">
      <c r="A104" s="184" t="s">
        <v>143</v>
      </c>
      <c r="B104" s="219"/>
      <c r="C104" s="26"/>
      <c r="D104" s="26">
        <v>14116567</v>
      </c>
    </row>
    <row r="105" spans="1:4" ht="15" hidden="1" x14ac:dyDescent="0.2">
      <c r="A105" s="161" t="s">
        <v>141</v>
      </c>
      <c r="B105" s="30">
        <v>19677.793000000001</v>
      </c>
      <c r="C105" s="26">
        <v>4564.83</v>
      </c>
      <c r="D105" s="26">
        <f>+C105*B105-79.94</f>
        <v>89825699.880190015</v>
      </c>
    </row>
    <row r="106" spans="1:4" ht="15" hidden="1" x14ac:dyDescent="0.2">
      <c r="A106" s="161" t="s">
        <v>142</v>
      </c>
      <c r="B106" s="30">
        <v>48.69</v>
      </c>
      <c r="C106" s="26">
        <v>2744.9578000000001</v>
      </c>
      <c r="D106" s="26">
        <f>+C106*B106</f>
        <v>133651.99528199999</v>
      </c>
    </row>
    <row r="107" spans="1:4" ht="15.75" hidden="1" thickBot="1" x14ac:dyDescent="0.25">
      <c r="A107" s="161" t="s">
        <v>160</v>
      </c>
      <c r="B107" s="30">
        <v>0.69</v>
      </c>
      <c r="C107" s="26">
        <v>3232.0675999999999</v>
      </c>
      <c r="D107" s="26">
        <f>+C107*B107</f>
        <v>2230.1266439999999</v>
      </c>
    </row>
    <row r="108" spans="1:4" ht="15.75" hidden="1" thickBot="1" x14ac:dyDescent="0.25">
      <c r="A108" s="161" t="s">
        <v>178</v>
      </c>
      <c r="B108" s="222">
        <f>SUM(B105:B107)</f>
        <v>19727.172999999999</v>
      </c>
      <c r="C108" s="26"/>
      <c r="D108" s="42">
        <f>SUM(D104:D107)</f>
        <v>104078149.00211601</v>
      </c>
    </row>
    <row r="109" spans="1:4" hidden="1" x14ac:dyDescent="0.2"/>
    <row r="110" spans="1:4" ht="15.75" hidden="1" thickBot="1" x14ac:dyDescent="0.25">
      <c r="A110" s="161" t="s">
        <v>176</v>
      </c>
      <c r="B110" s="220"/>
      <c r="C110" s="27"/>
      <c r="D110" s="183">
        <f>+D108-D112</f>
        <v>101625635.00211601</v>
      </c>
    </row>
    <row r="111" spans="1:4" hidden="1" x14ac:dyDescent="0.2"/>
    <row r="112" spans="1:4" ht="15.75" hidden="1" thickBot="1" x14ac:dyDescent="0.25">
      <c r="A112" s="161" t="s">
        <v>94</v>
      </c>
      <c r="B112" s="220"/>
      <c r="C112" s="27"/>
      <c r="D112" s="183">
        <v>2452514</v>
      </c>
    </row>
    <row r="113" spans="1:7" ht="13.5" hidden="1" thickBot="1" x14ac:dyDescent="0.25"/>
    <row r="114" spans="1:7" ht="16.5" hidden="1" thickBot="1" x14ac:dyDescent="0.3">
      <c r="A114" s="184" t="s">
        <v>145</v>
      </c>
      <c r="E114" s="431" t="s">
        <v>154</v>
      </c>
      <c r="F114" s="432"/>
      <c r="G114" s="433"/>
    </row>
    <row r="115" spans="1:7" ht="15" hidden="1" x14ac:dyDescent="0.2">
      <c r="A115" s="161" t="s">
        <v>141</v>
      </c>
      <c r="B115" s="30">
        <f>+'Budget Premisis'!B32</f>
        <v>93</v>
      </c>
      <c r="C115" s="26">
        <v>4564.83</v>
      </c>
      <c r="D115" s="26">
        <f>+B115*C115</f>
        <v>424529.19</v>
      </c>
      <c r="E115" s="207">
        <f>(+B115-B94)*C115</f>
        <v>0</v>
      </c>
      <c r="F115" s="198"/>
      <c r="G115" s="198"/>
    </row>
    <row r="116" spans="1:7" ht="15.75" hidden="1" thickBot="1" x14ac:dyDescent="0.25">
      <c r="A116" s="161" t="s">
        <v>142</v>
      </c>
      <c r="B116" s="30">
        <f>+'Budget Premisis'!C74</f>
        <v>0</v>
      </c>
      <c r="C116" s="26">
        <v>2744.9578000000001</v>
      </c>
      <c r="D116" s="26">
        <f>+C116*B116</f>
        <v>0</v>
      </c>
    </row>
    <row r="117" spans="1:7" ht="15.75" hidden="1" thickBot="1" x14ac:dyDescent="0.25">
      <c r="A117" s="161" t="s">
        <v>179</v>
      </c>
      <c r="B117" s="225">
        <f>SUM(B115:B116)</f>
        <v>93</v>
      </c>
      <c r="D117" s="42">
        <f>SUM(D114:D116)</f>
        <v>424529.19</v>
      </c>
    </row>
    <row r="118" spans="1:7" hidden="1" x14ac:dyDescent="0.2"/>
    <row r="119" spans="1:7" hidden="1" x14ac:dyDescent="0.2"/>
    <row r="120" spans="1:7" ht="15" hidden="1" x14ac:dyDescent="0.2">
      <c r="A120" s="84" t="s">
        <v>148</v>
      </c>
      <c r="B120" s="224">
        <f>+B115+B116</f>
        <v>93</v>
      </c>
      <c r="C120" s="237">
        <v>6.13</v>
      </c>
      <c r="D120" s="37">
        <f>+C120*525*B120</f>
        <v>299297.25</v>
      </c>
    </row>
    <row r="121" spans="1:7" hidden="1" x14ac:dyDescent="0.2"/>
    <row r="122" spans="1:7" hidden="1" x14ac:dyDescent="0.2"/>
    <row r="123" spans="1:7" hidden="1" x14ac:dyDescent="0.2"/>
    <row r="124" spans="1:7" ht="26.25" hidden="1" x14ac:dyDescent="0.4">
      <c r="A124" s="193" t="s">
        <v>180</v>
      </c>
    </row>
    <row r="125" spans="1:7" ht="15.75" hidden="1" x14ac:dyDescent="0.25">
      <c r="A125" s="184" t="s">
        <v>143</v>
      </c>
      <c r="B125" s="219"/>
      <c r="C125" s="26"/>
      <c r="D125" s="26">
        <v>14116567</v>
      </c>
    </row>
    <row r="126" spans="1:7" ht="15" hidden="1" x14ac:dyDescent="0.2">
      <c r="A126" s="161" t="s">
        <v>141</v>
      </c>
      <c r="B126" s="30">
        <f>18173.376-B136</f>
        <v>18080.376</v>
      </c>
      <c r="C126" s="26">
        <v>4564.83</v>
      </c>
      <c r="D126" s="26">
        <f>+B126*C126</f>
        <v>82533842.776079997</v>
      </c>
    </row>
    <row r="127" spans="1:7" ht="15" hidden="1" x14ac:dyDescent="0.2">
      <c r="A127" s="161" t="s">
        <v>142</v>
      </c>
      <c r="B127" s="30">
        <v>45.718000000000004</v>
      </c>
      <c r="C127" s="26">
        <v>2744.9578000000001</v>
      </c>
      <c r="D127" s="26">
        <f>+B127*C127</f>
        <v>125493.98070040002</v>
      </c>
    </row>
    <row r="128" spans="1:7" ht="15.75" hidden="1" thickBot="1" x14ac:dyDescent="0.25">
      <c r="A128" s="161" t="s">
        <v>160</v>
      </c>
      <c r="B128" s="30">
        <v>0</v>
      </c>
      <c r="C128" s="26">
        <v>3232.0675999999999</v>
      </c>
      <c r="D128" s="26">
        <f>+B128*C128-88.59</f>
        <v>-88.59</v>
      </c>
    </row>
    <row r="129" spans="1:4" ht="15.75" hidden="1" thickBot="1" x14ac:dyDescent="0.25">
      <c r="A129" s="161" t="s">
        <v>187</v>
      </c>
      <c r="B129" s="222">
        <f>SUM(B126:B128)</f>
        <v>18126.094000000001</v>
      </c>
      <c r="C129" s="26"/>
      <c r="D129" s="42">
        <f>SUM(D125:D128)</f>
        <v>96775815.166780397</v>
      </c>
    </row>
    <row r="130" spans="1:4" hidden="1" x14ac:dyDescent="0.2"/>
    <row r="131" spans="1:4" ht="15.75" hidden="1" thickBot="1" x14ac:dyDescent="0.25">
      <c r="A131" s="161" t="s">
        <v>188</v>
      </c>
      <c r="B131" s="220"/>
      <c r="C131" s="27"/>
      <c r="D131" s="183">
        <f>+D129-D133</f>
        <v>96775815.166780397</v>
      </c>
    </row>
    <row r="132" spans="1:4" hidden="1" x14ac:dyDescent="0.2"/>
    <row r="133" spans="1:4" ht="15.75" hidden="1" thickBot="1" x14ac:dyDescent="0.25">
      <c r="A133" s="144" t="s">
        <v>94</v>
      </c>
      <c r="B133" s="220"/>
      <c r="C133" s="27"/>
      <c r="D133" s="183">
        <v>0</v>
      </c>
    </row>
    <row r="134" spans="1:4" hidden="1" x14ac:dyDescent="0.2"/>
    <row r="135" spans="1:4" ht="15.75" hidden="1" x14ac:dyDescent="0.25">
      <c r="A135" s="184" t="s">
        <v>145</v>
      </c>
    </row>
    <row r="136" spans="1:4" ht="15" hidden="1" x14ac:dyDescent="0.2">
      <c r="A136" s="161" t="s">
        <v>141</v>
      </c>
      <c r="B136" s="30">
        <f>+'Budget Premisis'!B39</f>
        <v>93</v>
      </c>
      <c r="C136" s="26">
        <v>4564.83</v>
      </c>
      <c r="D136" s="26">
        <f>+B136*C136</f>
        <v>424529.19</v>
      </c>
    </row>
    <row r="137" spans="1:4" ht="15.75" hidden="1" thickBot="1" x14ac:dyDescent="0.25">
      <c r="A137" s="161" t="s">
        <v>142</v>
      </c>
      <c r="B137" s="30">
        <f>+'Budget Premisis'!C95</f>
        <v>0</v>
      </c>
      <c r="C137" s="26">
        <v>2744.9578000000001</v>
      </c>
      <c r="D137" s="26">
        <f>+C137*B137</f>
        <v>0</v>
      </c>
    </row>
    <row r="138" spans="1:4" ht="15.75" hidden="1" thickBot="1" x14ac:dyDescent="0.25">
      <c r="A138" s="161" t="s">
        <v>189</v>
      </c>
      <c r="B138" s="225">
        <f>SUM(B136:B137)</f>
        <v>93</v>
      </c>
      <c r="D138" s="42">
        <f>SUM(D135:D137)</f>
        <v>424529.19</v>
      </c>
    </row>
    <row r="139" spans="1:4" hidden="1" x14ac:dyDescent="0.2"/>
    <row r="140" spans="1:4" hidden="1" x14ac:dyDescent="0.2"/>
    <row r="141" spans="1:4" ht="15" hidden="1" x14ac:dyDescent="0.2">
      <c r="A141" s="84" t="s">
        <v>148</v>
      </c>
      <c r="B141" s="224">
        <f>+B136+B137</f>
        <v>93</v>
      </c>
      <c r="C141" s="237">
        <v>6.13</v>
      </c>
      <c r="D141" s="37">
        <f>+C141*525*B141</f>
        <v>299297.25</v>
      </c>
    </row>
    <row r="142" spans="1:4" ht="15" hidden="1" x14ac:dyDescent="0.2">
      <c r="A142" s="251"/>
      <c r="B142" s="252"/>
      <c r="C142" s="253"/>
      <c r="D142" s="146"/>
    </row>
    <row r="143" spans="1:4" hidden="1" x14ac:dyDescent="0.2">
      <c r="A143" s="251"/>
      <c r="B143" s="250"/>
      <c r="C143" s="197"/>
      <c r="D143" s="197"/>
    </row>
    <row r="144" spans="1:4" ht="26.25" hidden="1" x14ac:dyDescent="0.4">
      <c r="A144" s="193" t="s">
        <v>186</v>
      </c>
    </row>
    <row r="145" spans="1:6" ht="15" hidden="1" x14ac:dyDescent="0.2">
      <c r="A145" s="161" t="s">
        <v>143</v>
      </c>
      <c r="B145" s="23"/>
      <c r="C145" s="26"/>
      <c r="D145" s="26">
        <v>14116567</v>
      </c>
    </row>
    <row r="146" spans="1:6" ht="15" hidden="1" x14ac:dyDescent="0.2">
      <c r="A146" s="161" t="s">
        <v>141</v>
      </c>
      <c r="B146" s="289">
        <v>18454.714</v>
      </c>
      <c r="C146" s="26">
        <v>4564.8251</v>
      </c>
      <c r="D146" s="26">
        <f>(+B146*C146)-1</f>
        <v>84242540.680521399</v>
      </c>
    </row>
    <row r="147" spans="1:6" ht="15" hidden="1" x14ac:dyDescent="0.2">
      <c r="A147" s="161" t="s">
        <v>142</v>
      </c>
      <c r="B147" s="30">
        <v>44.56</v>
      </c>
      <c r="C147" s="26">
        <v>2744.9578000000001</v>
      </c>
      <c r="D147" s="26">
        <f>+B147*C147</f>
        <v>122315.31956800001</v>
      </c>
    </row>
    <row r="148" spans="1:6" ht="15.75" hidden="1" thickBot="1" x14ac:dyDescent="0.25">
      <c r="A148" s="161" t="s">
        <v>160</v>
      </c>
      <c r="B148" s="23">
        <v>0</v>
      </c>
      <c r="C148" s="26">
        <v>3232.0675999999999</v>
      </c>
      <c r="D148" s="26">
        <f>+B148*C148</f>
        <v>0</v>
      </c>
    </row>
    <row r="149" spans="1:6" ht="15.75" hidden="1" thickBot="1" x14ac:dyDescent="0.25">
      <c r="A149" s="161" t="s">
        <v>200</v>
      </c>
      <c r="B149" s="222">
        <f>SUM(B146:B148)</f>
        <v>18499.274000000001</v>
      </c>
      <c r="C149" s="26"/>
      <c r="D149" s="42">
        <f>SUM(D145:D148)</f>
        <v>98481423.000089392</v>
      </c>
    </row>
    <row r="150" spans="1:6" ht="15" hidden="1" x14ac:dyDescent="0.2">
      <c r="A150" s="161"/>
      <c r="B150" s="23"/>
      <c r="C150" s="26"/>
      <c r="D150" s="26"/>
    </row>
    <row r="151" spans="1:6" ht="15.75" hidden="1" thickBot="1" x14ac:dyDescent="0.25">
      <c r="A151" s="161" t="s">
        <v>201</v>
      </c>
      <c r="B151" s="23"/>
      <c r="C151" s="26"/>
      <c r="D151" s="290">
        <f>+D149-D153</f>
        <v>97200346.000089392</v>
      </c>
      <c r="F151" s="182"/>
    </row>
    <row r="152" spans="1:6" ht="15" hidden="1" x14ac:dyDescent="0.2">
      <c r="A152" s="161"/>
      <c r="B152" s="23"/>
      <c r="C152" s="26"/>
      <c r="D152" s="26"/>
    </row>
    <row r="153" spans="1:6" ht="15.75" hidden="1" thickBot="1" x14ac:dyDescent="0.25">
      <c r="A153" s="161" t="s">
        <v>94</v>
      </c>
      <c r="B153" s="23"/>
      <c r="C153" s="26"/>
      <c r="D153" s="290">
        <v>1281077</v>
      </c>
    </row>
    <row r="154" spans="1:6" ht="15" hidden="1" x14ac:dyDescent="0.2">
      <c r="A154" s="161"/>
      <c r="B154" s="23"/>
      <c r="C154" s="26"/>
      <c r="D154" s="26"/>
    </row>
    <row r="155" spans="1:6" ht="15.75" hidden="1" x14ac:dyDescent="0.25">
      <c r="A155" s="184" t="s">
        <v>145</v>
      </c>
      <c r="B155" s="23"/>
      <c r="C155" s="26"/>
      <c r="D155" s="26"/>
    </row>
    <row r="156" spans="1:6" ht="15" hidden="1" x14ac:dyDescent="0.2">
      <c r="A156" s="161" t="s">
        <v>141</v>
      </c>
      <c r="B156" s="30">
        <f>+'Budget Premisis'!B32</f>
        <v>93</v>
      </c>
      <c r="C156" s="26">
        <f>+C146</f>
        <v>4564.8251</v>
      </c>
      <c r="D156" s="26">
        <f>+B156*C156</f>
        <v>424528.73430000001</v>
      </c>
    </row>
    <row r="157" spans="1:6" ht="15.75" hidden="1" thickBot="1" x14ac:dyDescent="0.25">
      <c r="A157" s="161" t="s">
        <v>142</v>
      </c>
      <c r="B157" s="23">
        <v>0</v>
      </c>
      <c r="C157" s="26">
        <f>+C147</f>
        <v>2744.9578000000001</v>
      </c>
      <c r="D157" s="26">
        <v>0</v>
      </c>
    </row>
    <row r="158" spans="1:6" ht="15.75" hidden="1" thickBot="1" x14ac:dyDescent="0.25">
      <c r="A158" s="161" t="s">
        <v>202</v>
      </c>
      <c r="B158" s="222">
        <f>SUM(B156:B157)</f>
        <v>93</v>
      </c>
      <c r="C158" s="26"/>
      <c r="D158" s="42">
        <f>SUM(D156:D157)</f>
        <v>424528.73430000001</v>
      </c>
    </row>
    <row r="159" spans="1:6" ht="15" hidden="1" x14ac:dyDescent="0.2">
      <c r="A159" s="161"/>
      <c r="B159" s="23"/>
      <c r="C159" s="26"/>
      <c r="D159" s="26"/>
    </row>
    <row r="160" spans="1:6" ht="15" hidden="1" x14ac:dyDescent="0.2">
      <c r="A160" s="161"/>
      <c r="B160" s="23"/>
      <c r="C160" s="26"/>
      <c r="D160" s="26"/>
    </row>
    <row r="161" spans="1:6" ht="15" hidden="1" x14ac:dyDescent="0.2">
      <c r="A161" s="161" t="s">
        <v>148</v>
      </c>
      <c r="B161" s="30">
        <f>+B158</f>
        <v>93</v>
      </c>
      <c r="C161" s="26">
        <v>6.13</v>
      </c>
      <c r="D161" s="37">
        <f>+B161*525*C161</f>
        <v>299297.25</v>
      </c>
    </row>
    <row r="162" spans="1:6" hidden="1" x14ac:dyDescent="0.2"/>
    <row r="163" spans="1:6" hidden="1" x14ac:dyDescent="0.2"/>
    <row r="164" spans="1:6" hidden="1" x14ac:dyDescent="0.2"/>
    <row r="165" spans="1:6" ht="26.25" hidden="1" x14ac:dyDescent="0.4">
      <c r="A165" s="193" t="s">
        <v>214</v>
      </c>
    </row>
    <row r="166" spans="1:6" ht="15" hidden="1" x14ac:dyDescent="0.2">
      <c r="A166" s="161" t="s">
        <v>222</v>
      </c>
      <c r="B166" s="23"/>
      <c r="C166" s="26"/>
      <c r="D166" s="26">
        <f>14116567*(1+0.0157)</f>
        <v>14338197.1019</v>
      </c>
    </row>
    <row r="167" spans="1:6" ht="15" hidden="1" x14ac:dyDescent="0.2">
      <c r="A167" s="161" t="s">
        <v>141</v>
      </c>
      <c r="B167" s="289">
        <f>+'Budget Premisis'!B40-B177</f>
        <v>21886.426597848509</v>
      </c>
      <c r="C167" s="26">
        <f>4636.492854-E167</f>
        <v>4636.4928540000001</v>
      </c>
      <c r="D167" s="26">
        <f>+B167*C167</f>
        <v>101476260.52052015</v>
      </c>
      <c r="E167" s="83">
        <v>0</v>
      </c>
      <c r="F167" s="182"/>
    </row>
    <row r="168" spans="1:6" ht="15" hidden="1" x14ac:dyDescent="0.2">
      <c r="A168" s="161" t="s">
        <v>142</v>
      </c>
      <c r="B168" s="30">
        <f>+'Budget Premisis'!C40</f>
        <v>113.38999999999999</v>
      </c>
      <c r="C168" s="26">
        <v>2788.053637</v>
      </c>
      <c r="D168" s="26">
        <f>(+B168*C168)+0.71-37</f>
        <v>316101.11189942999</v>
      </c>
      <c r="F168" s="182"/>
    </row>
    <row r="169" spans="1:6" ht="15.75" hidden="1" thickBot="1" x14ac:dyDescent="0.25">
      <c r="A169" s="161" t="s">
        <v>160</v>
      </c>
      <c r="B169" s="23">
        <v>0</v>
      </c>
      <c r="C169" s="26">
        <v>3282.8110609999999</v>
      </c>
      <c r="D169" s="26">
        <f>+B169*C169</f>
        <v>0</v>
      </c>
    </row>
    <row r="170" spans="1:6" ht="15.75" hidden="1" thickBot="1" x14ac:dyDescent="0.25">
      <c r="A170" s="161" t="s">
        <v>216</v>
      </c>
      <c r="B170" s="222">
        <f>SUM(B167:B169)</f>
        <v>21999.816597848509</v>
      </c>
      <c r="C170" s="26"/>
      <c r="D170" s="42">
        <f>SUM(D166:D169)</f>
        <v>116130558.73431958</v>
      </c>
      <c r="E170" s="317">
        <f>+D170+D179</f>
        <v>116622490.62612899</v>
      </c>
    </row>
    <row r="171" spans="1:6" ht="15" hidden="1" x14ac:dyDescent="0.2">
      <c r="A171" s="161"/>
      <c r="B171" s="23"/>
      <c r="C171" s="26"/>
      <c r="D171" s="26"/>
    </row>
    <row r="172" spans="1:6" ht="15.75" hidden="1" thickBot="1" x14ac:dyDescent="0.25">
      <c r="A172" s="161" t="s">
        <v>221</v>
      </c>
      <c r="B172" s="23"/>
      <c r="C172" s="26"/>
      <c r="D172" s="290">
        <f>+D170-D174</f>
        <v>114124045.73431958</v>
      </c>
      <c r="E172" s="317"/>
      <c r="F172" s="182"/>
    </row>
    <row r="173" spans="1:6" ht="15" hidden="1" x14ac:dyDescent="0.2">
      <c r="A173" s="161"/>
      <c r="B173" s="23"/>
      <c r="C173" s="26"/>
      <c r="D173" s="26"/>
    </row>
    <row r="174" spans="1:6" ht="15.75" hidden="1" thickBot="1" x14ac:dyDescent="0.25">
      <c r="A174" s="161" t="s">
        <v>223</v>
      </c>
      <c r="B174" s="23"/>
      <c r="C174" s="26"/>
      <c r="D174" s="290">
        <v>2006513</v>
      </c>
    </row>
    <row r="175" spans="1:6" ht="15" hidden="1" x14ac:dyDescent="0.2">
      <c r="A175" s="161"/>
      <c r="B175" s="23"/>
      <c r="C175" s="26"/>
      <c r="D175" s="26"/>
    </row>
    <row r="176" spans="1:6" ht="15.75" hidden="1" x14ac:dyDescent="0.25">
      <c r="A176" s="184" t="s">
        <v>145</v>
      </c>
      <c r="B176" s="23"/>
      <c r="C176" s="26"/>
      <c r="D176" s="26"/>
    </row>
    <row r="177" spans="1:6" ht="15" hidden="1" x14ac:dyDescent="0.2">
      <c r="A177" s="161" t="s">
        <v>141</v>
      </c>
      <c r="B177" s="30">
        <v>106.1</v>
      </c>
      <c r="C177" s="26">
        <f>+C167-E167</f>
        <v>4636.4928540000001</v>
      </c>
      <c r="D177" s="26">
        <f>+B177*C177</f>
        <v>491931.8918094</v>
      </c>
      <c r="E177" s="317">
        <f>+'Income to be Allocated'!C20</f>
        <v>583275.5</v>
      </c>
      <c r="F177" s="340"/>
    </row>
    <row r="178" spans="1:6" ht="15.75" hidden="1" thickBot="1" x14ac:dyDescent="0.25">
      <c r="A178" s="161" t="s">
        <v>142</v>
      </c>
      <c r="B178" s="23">
        <v>0</v>
      </c>
      <c r="C178" s="26">
        <f>+C168</f>
        <v>2788.053637</v>
      </c>
      <c r="D178" s="26">
        <v>0</v>
      </c>
    </row>
    <row r="179" spans="1:6" ht="15.75" hidden="1" thickBot="1" x14ac:dyDescent="0.25">
      <c r="A179" s="161" t="s">
        <v>202</v>
      </c>
      <c r="B179" s="222">
        <f>SUM(B177:B178)</f>
        <v>106.1</v>
      </c>
      <c r="C179" s="26"/>
      <c r="D179" s="42">
        <f>SUM(D177:D178)</f>
        <v>491931.8918094</v>
      </c>
      <c r="E179" s="83">
        <f>+D172+D174+D179</f>
        <v>116622490.62612899</v>
      </c>
    </row>
    <row r="180" spans="1:6" ht="15" hidden="1" x14ac:dyDescent="0.2">
      <c r="A180" s="161"/>
      <c r="B180" s="23"/>
      <c r="C180" s="26"/>
      <c r="D180" s="26"/>
    </row>
    <row r="181" spans="1:6" ht="15" hidden="1" x14ac:dyDescent="0.2">
      <c r="A181" s="161"/>
      <c r="B181" s="23"/>
      <c r="C181" s="26"/>
      <c r="D181" s="26"/>
    </row>
    <row r="182" spans="1:6" ht="15" hidden="1" x14ac:dyDescent="0.2">
      <c r="A182" s="161" t="s">
        <v>148</v>
      </c>
      <c r="B182" s="30">
        <f>+B179</f>
        <v>106.1</v>
      </c>
      <c r="C182" s="26">
        <v>6.13</v>
      </c>
      <c r="D182" s="37">
        <f>+B182*525*C182</f>
        <v>341456.32500000001</v>
      </c>
    </row>
    <row r="183" spans="1:6" hidden="1" x14ac:dyDescent="0.2"/>
    <row r="184" spans="1:6" hidden="1" x14ac:dyDescent="0.2"/>
    <row r="185" spans="1:6" hidden="1" x14ac:dyDescent="0.2"/>
    <row r="186" spans="1:6" ht="26.25" hidden="1" x14ac:dyDescent="0.4">
      <c r="A186" s="193" t="s">
        <v>224</v>
      </c>
    </row>
    <row r="187" spans="1:6" ht="15" hidden="1" x14ac:dyDescent="0.2">
      <c r="A187" s="161" t="s">
        <v>225</v>
      </c>
      <c r="B187" s="23"/>
      <c r="C187" s="26"/>
      <c r="D187" s="26">
        <f>14338200*(1+0.0085)</f>
        <v>14460074.699999999</v>
      </c>
    </row>
    <row r="188" spans="1:6" ht="15" hidden="1" x14ac:dyDescent="0.2">
      <c r="A188" s="161" t="s">
        <v>141</v>
      </c>
      <c r="B188" s="289">
        <f>+'Budget Premisis'!B40-B198</f>
        <v>21873.726597848508</v>
      </c>
      <c r="C188" s="26">
        <f>((4636.492854)*1.0085)</f>
        <v>4675.9030432589998</v>
      </c>
      <c r="D188" s="26">
        <f>+B188*C188</f>
        <v>102279424.76629516</v>
      </c>
    </row>
    <row r="189" spans="1:6" ht="15" hidden="1" x14ac:dyDescent="0.2">
      <c r="A189" s="161" t="s">
        <v>142</v>
      </c>
      <c r="B189" s="30">
        <f>+'Budget Premisis'!C40</f>
        <v>113.38999999999999</v>
      </c>
      <c r="C189" s="26">
        <v>2811.75</v>
      </c>
      <c r="D189" s="26">
        <f>(+B189*C189)+0.71-1.21</f>
        <v>318823.83249999996</v>
      </c>
    </row>
    <row r="190" spans="1:6" ht="15.75" hidden="1" thickBot="1" x14ac:dyDescent="0.25">
      <c r="A190" s="161" t="s">
        <v>160</v>
      </c>
      <c r="B190" s="23">
        <v>0</v>
      </c>
      <c r="C190" s="26">
        <v>3310.71</v>
      </c>
      <c r="D190" s="26">
        <f>+B190*C190</f>
        <v>0</v>
      </c>
    </row>
    <row r="191" spans="1:6" ht="15.75" hidden="1" thickBot="1" x14ac:dyDescent="0.25">
      <c r="A191" s="161" t="s">
        <v>226</v>
      </c>
      <c r="B191" s="222">
        <f>SUM(B188:B190)</f>
        <v>21987.116597848508</v>
      </c>
      <c r="C191" s="26"/>
      <c r="D191" s="42">
        <f>SUM(D187:D190)</f>
        <v>117058323.29879516</v>
      </c>
      <c r="E191" s="83">
        <f>+D191+D198</f>
        <v>117613820.58033434</v>
      </c>
    </row>
    <row r="192" spans="1:6" ht="15" hidden="1" x14ac:dyDescent="0.2">
      <c r="A192" s="161"/>
      <c r="B192" s="23"/>
      <c r="C192" s="26"/>
      <c r="D192" s="26"/>
    </row>
    <row r="193" spans="1:6" ht="15.75" hidden="1" thickBot="1" x14ac:dyDescent="0.25">
      <c r="A193" s="161" t="s">
        <v>228</v>
      </c>
      <c r="B193" s="23"/>
      <c r="C193" s="26"/>
      <c r="D193" s="290">
        <f>+D191-D195</f>
        <v>115974956.29879516</v>
      </c>
    </row>
    <row r="194" spans="1:6" ht="15" hidden="1" x14ac:dyDescent="0.2">
      <c r="A194" s="161"/>
      <c r="B194" s="23"/>
      <c r="C194" s="26"/>
      <c r="D194" s="26"/>
    </row>
    <row r="195" spans="1:6" ht="15.75" hidden="1" thickBot="1" x14ac:dyDescent="0.25">
      <c r="A195" s="161" t="s">
        <v>227</v>
      </c>
      <c r="B195" s="23"/>
      <c r="C195" s="26"/>
      <c r="D195" s="290">
        <f>1083367</f>
        <v>1083367</v>
      </c>
    </row>
    <row r="196" spans="1:6" ht="15" hidden="1" x14ac:dyDescent="0.2">
      <c r="A196" s="161"/>
      <c r="B196" s="23"/>
      <c r="C196" s="26"/>
      <c r="D196" s="26"/>
    </row>
    <row r="197" spans="1:6" ht="15.75" hidden="1" x14ac:dyDescent="0.25">
      <c r="A197" s="184" t="s">
        <v>145</v>
      </c>
      <c r="B197" s="23"/>
      <c r="C197" s="26"/>
      <c r="D197" s="26"/>
    </row>
    <row r="198" spans="1:6" ht="15" hidden="1" x14ac:dyDescent="0.2">
      <c r="A198" s="161" t="s">
        <v>141</v>
      </c>
      <c r="B198" s="30">
        <v>118.8</v>
      </c>
      <c r="C198" s="26">
        <f>+C188-E188</f>
        <v>4675.9030432589998</v>
      </c>
      <c r="D198" s="26">
        <f>+B198*C198</f>
        <v>555497.28153916914</v>
      </c>
      <c r="F198" s="182"/>
    </row>
    <row r="199" spans="1:6" ht="15.75" hidden="1" thickBot="1" x14ac:dyDescent="0.25">
      <c r="A199" s="161" t="s">
        <v>142</v>
      </c>
      <c r="B199" s="23">
        <v>0</v>
      </c>
      <c r="C199" s="26">
        <f>+C189</f>
        <v>2811.75</v>
      </c>
      <c r="D199" s="26">
        <v>0</v>
      </c>
    </row>
    <row r="200" spans="1:6" ht="15.75" hidden="1" thickBot="1" x14ac:dyDescent="0.25">
      <c r="A200" s="161" t="s">
        <v>233</v>
      </c>
      <c r="B200" s="222">
        <f>SUM(B198:B199)</f>
        <v>118.8</v>
      </c>
      <c r="C200" s="26"/>
      <c r="D200" s="42">
        <f>SUM(D198:D199)</f>
        <v>555497.28153916914</v>
      </c>
    </row>
    <row r="201" spans="1:6" ht="15" hidden="1" x14ac:dyDescent="0.2">
      <c r="A201" s="161"/>
      <c r="B201" s="23"/>
      <c r="C201" s="26"/>
      <c r="D201" s="26"/>
    </row>
    <row r="202" spans="1:6" ht="15" hidden="1" x14ac:dyDescent="0.2">
      <c r="A202" s="161"/>
      <c r="B202" s="23"/>
      <c r="C202" s="26"/>
      <c r="D202" s="26"/>
    </row>
    <row r="203" spans="1:6" ht="15" hidden="1" x14ac:dyDescent="0.2">
      <c r="A203" s="161" t="s">
        <v>148</v>
      </c>
      <c r="B203" s="30">
        <f>+B198</f>
        <v>118.8</v>
      </c>
      <c r="C203" s="26">
        <v>6.13</v>
      </c>
      <c r="D203" s="37">
        <f>+B203*525*C203</f>
        <v>382328.1</v>
      </c>
    </row>
    <row r="204" spans="1:6" hidden="1" x14ac:dyDescent="0.2">
      <c r="B204" s="339">
        <f>+B203-B198</f>
        <v>0</v>
      </c>
    </row>
    <row r="205" spans="1:6" hidden="1" x14ac:dyDescent="0.2">
      <c r="B205" s="339"/>
    </row>
    <row r="206" spans="1:6" hidden="1" x14ac:dyDescent="0.2"/>
    <row r="207" spans="1:6" ht="26.25" hidden="1" x14ac:dyDescent="0.4">
      <c r="A207" s="193" t="s">
        <v>235</v>
      </c>
    </row>
    <row r="208" spans="1:6" ht="15" hidden="1" x14ac:dyDescent="0.2">
      <c r="A208" s="161" t="s">
        <v>239</v>
      </c>
      <c r="B208" s="23"/>
      <c r="C208" s="26"/>
      <c r="D208" s="26">
        <f>14460172*(1+0.0102)-100.79</f>
        <v>14607564.964400001</v>
      </c>
      <c r="E208" s="347"/>
      <c r="F208" s="182"/>
    </row>
    <row r="209" spans="1:7" ht="15" hidden="1" x14ac:dyDescent="0.2">
      <c r="A209" s="161" t="s">
        <v>141</v>
      </c>
      <c r="B209" s="23">
        <f>20732.06-B220</f>
        <v>20599.060000000001</v>
      </c>
      <c r="C209" s="26">
        <v>4723.5972540000002</v>
      </c>
      <c r="D209" s="26">
        <f>+B209*C209</f>
        <v>97301663.250981256</v>
      </c>
    </row>
    <row r="210" spans="1:7" ht="15" hidden="1" x14ac:dyDescent="0.2">
      <c r="A210" s="161" t="s">
        <v>142</v>
      </c>
      <c r="B210" s="23">
        <v>61.47</v>
      </c>
      <c r="C210" s="26">
        <v>2840.4319650000002</v>
      </c>
      <c r="D210" s="26">
        <f>+C210*B210</f>
        <v>174601.35288855</v>
      </c>
    </row>
    <row r="211" spans="1:7" ht="15" hidden="1" x14ac:dyDescent="0.2">
      <c r="A211" s="161" t="s">
        <v>160</v>
      </c>
      <c r="B211" s="23">
        <v>0</v>
      </c>
      <c r="C211" s="26">
        <f>+C209</f>
        <v>4723.5972540000002</v>
      </c>
      <c r="D211" s="26">
        <f>+C211*B211</f>
        <v>0</v>
      </c>
    </row>
    <row r="212" spans="1:7" ht="15.75" hidden="1" thickBot="1" x14ac:dyDescent="0.25">
      <c r="A212" s="161" t="s">
        <v>243</v>
      </c>
      <c r="B212" s="23"/>
      <c r="C212" s="26"/>
      <c r="D212" s="26">
        <v>6559835</v>
      </c>
    </row>
    <row r="213" spans="1:7" ht="15.75" hidden="1" thickBot="1" x14ac:dyDescent="0.25">
      <c r="A213" s="161" t="s">
        <v>241</v>
      </c>
      <c r="B213" s="346">
        <f>SUM(B209:B211)</f>
        <v>20660.530000000002</v>
      </c>
      <c r="C213" s="26"/>
      <c r="D213" s="42">
        <f>SUM(D208:D212)</f>
        <v>118643664.56826982</v>
      </c>
    </row>
    <row r="214" spans="1:7" ht="15" hidden="1" x14ac:dyDescent="0.2">
      <c r="A214" s="161"/>
      <c r="B214" s="23"/>
      <c r="C214" s="26"/>
      <c r="D214" s="26"/>
    </row>
    <row r="215" spans="1:7" ht="15.75" hidden="1" thickBot="1" x14ac:dyDescent="0.25">
      <c r="A215" s="161" t="s">
        <v>237</v>
      </c>
      <c r="B215" s="23"/>
      <c r="C215" s="26"/>
      <c r="D215" s="290">
        <f>+D213-D217</f>
        <v>114193944.56826982</v>
      </c>
      <c r="G215" s="182"/>
    </row>
    <row r="216" spans="1:7" ht="15" hidden="1" x14ac:dyDescent="0.2">
      <c r="A216" s="161"/>
      <c r="B216" s="23"/>
      <c r="C216" s="26"/>
      <c r="D216" s="26"/>
    </row>
    <row r="217" spans="1:7" ht="15.75" hidden="1" thickBot="1" x14ac:dyDescent="0.25">
      <c r="A217" s="161" t="s">
        <v>244</v>
      </c>
      <c r="B217" s="23"/>
      <c r="C217" s="26"/>
      <c r="D217" s="354">
        <v>4449720</v>
      </c>
      <c r="F217" s="182"/>
    </row>
    <row r="218" spans="1:7" ht="15" hidden="1" x14ac:dyDescent="0.2">
      <c r="A218" s="161"/>
      <c r="B218" s="23"/>
      <c r="C218" s="26"/>
      <c r="D218" s="26"/>
    </row>
    <row r="219" spans="1:7" ht="15" hidden="1" x14ac:dyDescent="0.2">
      <c r="A219" s="161" t="s">
        <v>145</v>
      </c>
      <c r="B219" s="23"/>
      <c r="C219" s="26"/>
      <c r="D219" s="26"/>
    </row>
    <row r="220" spans="1:7" ht="15" hidden="1" x14ac:dyDescent="0.2">
      <c r="A220" s="161" t="s">
        <v>141</v>
      </c>
      <c r="B220" s="23">
        <v>133</v>
      </c>
      <c r="C220" s="26">
        <f>+C209</f>
        <v>4723.5972540000002</v>
      </c>
      <c r="D220" s="26">
        <f>+B220*C220</f>
        <v>628238.43478200003</v>
      </c>
    </row>
    <row r="221" spans="1:7" ht="15.75" hidden="1" thickBot="1" x14ac:dyDescent="0.25">
      <c r="A221" s="161" t="s">
        <v>142</v>
      </c>
      <c r="B221" s="23">
        <v>0</v>
      </c>
      <c r="C221" s="26">
        <f>+C210</f>
        <v>2840.4319650000002</v>
      </c>
      <c r="D221" s="26">
        <f>+B221*C221</f>
        <v>0</v>
      </c>
    </row>
    <row r="222" spans="1:7" ht="15.75" hidden="1" thickBot="1" x14ac:dyDescent="0.25">
      <c r="A222" s="161" t="s">
        <v>238</v>
      </c>
      <c r="B222" s="346">
        <f>SUM(B220:B221)</f>
        <v>133</v>
      </c>
      <c r="C222" s="26"/>
      <c r="D222" s="42">
        <f>SUM(D220:D221)</f>
        <v>628238.43478200003</v>
      </c>
    </row>
    <row r="223" spans="1:7" ht="15" hidden="1" x14ac:dyDescent="0.2">
      <c r="A223" s="161"/>
      <c r="B223" s="23"/>
      <c r="C223" s="26"/>
      <c r="D223" s="26"/>
    </row>
    <row r="224" spans="1:7" ht="15" hidden="1" x14ac:dyDescent="0.2">
      <c r="A224" s="161"/>
      <c r="B224" s="23"/>
      <c r="C224" s="26"/>
      <c r="D224" s="26"/>
    </row>
    <row r="225" spans="1:5" ht="15" hidden="1" x14ac:dyDescent="0.2">
      <c r="A225" s="161" t="s">
        <v>148</v>
      </c>
      <c r="B225" s="23">
        <f>+B222</f>
        <v>133</v>
      </c>
      <c r="C225" s="26">
        <v>6.13</v>
      </c>
      <c r="D225" s="26">
        <v>382328.1</v>
      </c>
    </row>
    <row r="226" spans="1:5" hidden="1" x14ac:dyDescent="0.2"/>
    <row r="227" spans="1:5" hidden="1" x14ac:dyDescent="0.2"/>
    <row r="228" spans="1:5" hidden="1" x14ac:dyDescent="0.2"/>
    <row r="229" spans="1:5" ht="26.25" hidden="1" x14ac:dyDescent="0.4">
      <c r="A229" s="193" t="s">
        <v>240</v>
      </c>
    </row>
    <row r="230" spans="1:5" ht="15" hidden="1" x14ac:dyDescent="0.2">
      <c r="A230" s="161" t="s">
        <v>239</v>
      </c>
      <c r="B230" s="23"/>
      <c r="C230" s="26"/>
      <c r="D230" s="26">
        <v>15308756</v>
      </c>
    </row>
    <row r="231" spans="1:5" ht="15" hidden="1" x14ac:dyDescent="0.2">
      <c r="A231" s="161" t="s">
        <v>141</v>
      </c>
      <c r="B231" s="23">
        <f>20713.25-B242</f>
        <v>20580.25</v>
      </c>
      <c r="C231" s="26">
        <v>5005.6830570000002</v>
      </c>
      <c r="D231" s="26">
        <f>+B231*C231</f>
        <v>103018208.73382425</v>
      </c>
    </row>
    <row r="232" spans="1:5" ht="15" hidden="1" x14ac:dyDescent="0.2">
      <c r="A232" s="161" t="s">
        <v>142</v>
      </c>
      <c r="B232" s="23">
        <v>80.739999999999995</v>
      </c>
      <c r="C232" s="26">
        <v>3010.0580970000001</v>
      </c>
      <c r="D232" s="26">
        <f>+C232*B232</f>
        <v>243032.09075177999</v>
      </c>
      <c r="E232" s="83">
        <f>+D232+D231</f>
        <v>103261240.82457604</v>
      </c>
    </row>
    <row r="233" spans="1:5" ht="15" hidden="1" x14ac:dyDescent="0.2">
      <c r="A233" s="161" t="s">
        <v>160</v>
      </c>
      <c r="B233" s="23">
        <v>0</v>
      </c>
      <c r="C233" s="26">
        <f>+C231</f>
        <v>5005.6830570000002</v>
      </c>
      <c r="D233" s="26">
        <f>+C233*B233</f>
        <v>0</v>
      </c>
    </row>
    <row r="234" spans="1:5" ht="15.75" hidden="1" thickBot="1" x14ac:dyDescent="0.25">
      <c r="A234" s="161" t="s">
        <v>245</v>
      </c>
      <c r="B234" s="23"/>
      <c r="C234" s="26"/>
      <c r="D234" s="26">
        <f>1570365+36153</f>
        <v>1606518</v>
      </c>
    </row>
    <row r="235" spans="1:5" ht="15.75" hidden="1" thickBot="1" x14ac:dyDescent="0.25">
      <c r="A235" s="161" t="s">
        <v>241</v>
      </c>
      <c r="B235" s="346">
        <f>SUM(B231:B233)</f>
        <v>20660.990000000002</v>
      </c>
      <c r="C235" s="26"/>
      <c r="D235" s="42">
        <f>SUM(D230:D234)</f>
        <v>120176514.82457604</v>
      </c>
    </row>
    <row r="236" spans="1:5" ht="15" hidden="1" x14ac:dyDescent="0.2">
      <c r="A236" s="161"/>
      <c r="B236" s="23"/>
      <c r="C236" s="26"/>
      <c r="D236" s="26"/>
    </row>
    <row r="237" spans="1:5" ht="15.75" hidden="1" thickBot="1" x14ac:dyDescent="0.25">
      <c r="A237" s="161" t="s">
        <v>242</v>
      </c>
      <c r="B237" s="23"/>
      <c r="C237" s="26"/>
      <c r="D237" s="290">
        <f>+D235-D239</f>
        <v>120176514.82457604</v>
      </c>
    </row>
    <row r="238" spans="1:5" ht="15" hidden="1" x14ac:dyDescent="0.2">
      <c r="A238" s="161"/>
      <c r="B238" s="23"/>
      <c r="C238" s="26"/>
      <c r="D238" s="26"/>
    </row>
    <row r="239" spans="1:5" ht="15.75" hidden="1" thickBot="1" x14ac:dyDescent="0.25">
      <c r="A239" s="161" t="s">
        <v>236</v>
      </c>
      <c r="B239" s="23"/>
      <c r="C239" s="26"/>
      <c r="D239" s="354">
        <v>0</v>
      </c>
    </row>
    <row r="240" spans="1:5" ht="15" hidden="1" x14ac:dyDescent="0.2">
      <c r="A240" s="161"/>
      <c r="B240" s="23"/>
      <c r="C240" s="26"/>
      <c r="D240" s="26"/>
    </row>
    <row r="241" spans="1:6" ht="15" hidden="1" x14ac:dyDescent="0.2">
      <c r="A241" s="161" t="s">
        <v>145</v>
      </c>
      <c r="B241" s="23"/>
      <c r="C241" s="26"/>
      <c r="D241" s="26"/>
    </row>
    <row r="242" spans="1:6" ht="15" hidden="1" x14ac:dyDescent="0.2">
      <c r="A242" s="161" t="s">
        <v>141</v>
      </c>
      <c r="B242" s="23">
        <v>133</v>
      </c>
      <c r="C242" s="26">
        <f>+C231</f>
        <v>5005.6830570000002</v>
      </c>
      <c r="D242" s="26">
        <f>+B242*C242</f>
        <v>665755.84658100002</v>
      </c>
      <c r="E242" s="83">
        <f>+D242+D237</f>
        <v>120842270.67115703</v>
      </c>
    </row>
    <row r="243" spans="1:6" ht="15.75" hidden="1" thickBot="1" x14ac:dyDescent="0.25">
      <c r="A243" s="161" t="s">
        <v>142</v>
      </c>
      <c r="B243" s="23">
        <v>0</v>
      </c>
      <c r="C243" s="26">
        <f>+C232</f>
        <v>3010.0580970000001</v>
      </c>
      <c r="D243" s="26">
        <f>+B243*C243</f>
        <v>0</v>
      </c>
    </row>
    <row r="244" spans="1:6" ht="15.75" hidden="1" thickBot="1" x14ac:dyDescent="0.25">
      <c r="A244" s="161" t="s">
        <v>238</v>
      </c>
      <c r="B244" s="346">
        <f>SUM(B242:B243)</f>
        <v>133</v>
      </c>
      <c r="C244" s="26"/>
      <c r="D244" s="346">
        <f>SUM(D242:D243)</f>
        <v>665755.84658100002</v>
      </c>
    </row>
    <row r="245" spans="1:6" ht="15" hidden="1" x14ac:dyDescent="0.2">
      <c r="A245" s="161"/>
      <c r="B245" s="23"/>
      <c r="C245" s="26"/>
      <c r="D245" s="26"/>
    </row>
    <row r="246" spans="1:6" ht="15" hidden="1" x14ac:dyDescent="0.2">
      <c r="A246" s="161"/>
      <c r="B246" s="23"/>
      <c r="C246" s="26"/>
      <c r="D246" s="26"/>
    </row>
    <row r="247" spans="1:6" ht="15" hidden="1" x14ac:dyDescent="0.2">
      <c r="A247" s="161" t="s">
        <v>148</v>
      </c>
      <c r="B247" s="23">
        <f>+B244</f>
        <v>133</v>
      </c>
      <c r="C247" s="26">
        <v>6.13</v>
      </c>
      <c r="D247" s="26">
        <v>382328.1</v>
      </c>
    </row>
    <row r="248" spans="1:6" hidden="1" x14ac:dyDescent="0.2"/>
    <row r="250" spans="1:6" ht="26.25" x14ac:dyDescent="0.4">
      <c r="A250" s="193" t="s">
        <v>274</v>
      </c>
    </row>
    <row r="251" spans="1:6" ht="15" x14ac:dyDescent="0.2">
      <c r="A251" s="161" t="s">
        <v>143</v>
      </c>
      <c r="B251" s="23"/>
      <c r="C251" s="26"/>
      <c r="D251" s="26">
        <f>+[5]Apportionment!$D$251</f>
        <v>17314768</v>
      </c>
    </row>
    <row r="252" spans="1:6" ht="15" x14ac:dyDescent="0.2">
      <c r="A252" s="161" t="s">
        <v>141</v>
      </c>
      <c r="B252" s="23">
        <f>22483.51-B263</f>
        <v>22327.01</v>
      </c>
      <c r="C252" s="26">
        <v>5150.9303520000003</v>
      </c>
      <c r="D252" s="26">
        <f>+[5]Apportionment!$D$252</f>
        <v>110698966.74065313</v>
      </c>
    </row>
    <row r="253" spans="1:6" ht="15" x14ac:dyDescent="0.2">
      <c r="A253" s="161" t="s">
        <v>142</v>
      </c>
      <c r="B253" s="23">
        <v>26.64</v>
      </c>
      <c r="C253" s="26">
        <v>3097.3993820000001</v>
      </c>
      <c r="D253" s="26">
        <f>+[5]Apportionment!$D$253</f>
        <v>229950.93011967998</v>
      </c>
      <c r="E253" s="83">
        <f>+D253+D252+D254</f>
        <v>110928917.67077281</v>
      </c>
    </row>
    <row r="254" spans="1:6" ht="15" x14ac:dyDescent="0.2">
      <c r="A254" s="161" t="s">
        <v>160</v>
      </c>
      <c r="B254" s="23">
        <v>29.99</v>
      </c>
      <c r="C254" s="26">
        <v>5150.9303520000003</v>
      </c>
      <c r="D254" s="26">
        <f>+[5]Apportionment!$D$254</f>
        <v>0</v>
      </c>
    </row>
    <row r="255" spans="1:6" ht="15.75" thickBot="1" x14ac:dyDescent="0.25">
      <c r="A255" s="161" t="s">
        <v>245</v>
      </c>
      <c r="B255" s="23"/>
      <c r="C255" s="26"/>
      <c r="D255" s="26">
        <f>+[5]Apportionment!$D$255</f>
        <v>6545262</v>
      </c>
    </row>
    <row r="256" spans="1:6" ht="15.75" thickBot="1" x14ac:dyDescent="0.25">
      <c r="A256" s="161" t="s">
        <v>247</v>
      </c>
      <c r="B256" s="346">
        <f>SUM(B252:B254)</f>
        <v>22383.64</v>
      </c>
      <c r="C256" s="26"/>
      <c r="D256" s="42">
        <f>SUM(D251:D255)</f>
        <v>134788947.67077279</v>
      </c>
      <c r="E256" s="382">
        <f>+D256+D265</f>
        <v>135595068.27086079</v>
      </c>
      <c r="F256" s="381" t="s">
        <v>275</v>
      </c>
    </row>
    <row r="257" spans="1:10" ht="15" x14ac:dyDescent="0.2">
      <c r="A257" s="161"/>
      <c r="B257" s="23"/>
      <c r="C257" s="26"/>
      <c r="D257" s="26"/>
    </row>
    <row r="258" spans="1:10" ht="15.75" thickBot="1" x14ac:dyDescent="0.25">
      <c r="A258" s="161" t="s">
        <v>248</v>
      </c>
      <c r="B258" s="23"/>
      <c r="C258" s="26"/>
      <c r="D258" s="290">
        <f>+D256-D260</f>
        <v>130515498.67077279</v>
      </c>
    </row>
    <row r="259" spans="1:10" ht="15" x14ac:dyDescent="0.2">
      <c r="A259" s="161"/>
      <c r="B259" s="23"/>
      <c r="C259" s="26"/>
      <c r="D259" s="26"/>
    </row>
    <row r="260" spans="1:10" ht="15.75" thickBot="1" x14ac:dyDescent="0.25">
      <c r="A260" s="161" t="s">
        <v>246</v>
      </c>
      <c r="B260" s="23"/>
      <c r="C260" s="26"/>
      <c r="D260" s="354">
        <f>+[5]Apportionment!$D$260</f>
        <v>4273449</v>
      </c>
    </row>
    <row r="261" spans="1:10" ht="15" x14ac:dyDescent="0.2">
      <c r="A261" s="161"/>
      <c r="B261" s="23"/>
      <c r="C261" s="26"/>
      <c r="D261" s="26"/>
    </row>
    <row r="262" spans="1:10" ht="15" x14ac:dyDescent="0.2">
      <c r="A262" s="161" t="s">
        <v>145</v>
      </c>
      <c r="B262" s="23"/>
      <c r="C262" s="26"/>
      <c r="D262" s="26"/>
    </row>
    <row r="263" spans="1:10" ht="15" x14ac:dyDescent="0.2">
      <c r="A263" s="161" t="s">
        <v>141</v>
      </c>
      <c r="B263" s="23">
        <v>156.5</v>
      </c>
      <c r="C263" s="26">
        <f>+C252</f>
        <v>5150.9303520000003</v>
      </c>
      <c r="D263" s="26">
        <f>+B263*C263</f>
        <v>806120.60008800006</v>
      </c>
      <c r="E263" s="8">
        <f>+D263+D258</f>
        <v>131321619.27086079</v>
      </c>
    </row>
    <row r="264" spans="1:10" ht="15.75" thickBot="1" x14ac:dyDescent="0.25">
      <c r="A264" s="161" t="s">
        <v>142</v>
      </c>
      <c r="B264" s="23">
        <v>0</v>
      </c>
      <c r="C264" s="26">
        <f>+C253</f>
        <v>3097.3993820000001</v>
      </c>
      <c r="D264" s="26">
        <f>+B264*C264</f>
        <v>0</v>
      </c>
    </row>
    <row r="265" spans="1:10" ht="15.75" thickBot="1" x14ac:dyDescent="0.25">
      <c r="A265" s="161" t="s">
        <v>249</v>
      </c>
      <c r="B265" s="346">
        <f>SUM(B263:B264)</f>
        <v>156.5</v>
      </c>
      <c r="C265" s="26"/>
      <c r="D265" s="346">
        <f>SUM(D263:D264)</f>
        <v>806120.60008800006</v>
      </c>
    </row>
    <row r="266" spans="1:10" ht="15" x14ac:dyDescent="0.2">
      <c r="A266" s="161"/>
      <c r="B266" s="23"/>
      <c r="C266" s="26"/>
      <c r="D266" s="26"/>
    </row>
    <row r="267" spans="1:10" ht="15" x14ac:dyDescent="0.2">
      <c r="A267" s="161"/>
      <c r="B267" s="23"/>
      <c r="C267" s="26"/>
      <c r="D267" s="26"/>
    </row>
    <row r="268" spans="1:10" ht="15" x14ac:dyDescent="0.2">
      <c r="A268" s="161" t="s">
        <v>148</v>
      </c>
      <c r="B268" s="23">
        <f>+B265</f>
        <v>156.5</v>
      </c>
      <c r="C268" s="26">
        <v>6.37</v>
      </c>
      <c r="D268" s="26">
        <v>382328.1</v>
      </c>
      <c r="G268" s="372">
        <v>135595068</v>
      </c>
      <c r="H268" s="77" t="s">
        <v>264</v>
      </c>
    </row>
    <row r="269" spans="1:10" x14ac:dyDescent="0.2">
      <c r="G269" s="257">
        <v>2.7099999999999999E-2</v>
      </c>
      <c r="H269" s="77" t="s">
        <v>265</v>
      </c>
    </row>
    <row r="270" spans="1:10" x14ac:dyDescent="0.2">
      <c r="G270" s="372">
        <f>+G268*G269</f>
        <v>3674626.3427999998</v>
      </c>
      <c r="H270" s="77" t="s">
        <v>262</v>
      </c>
    </row>
    <row r="271" spans="1:10" ht="26.25" x14ac:dyDescent="0.4">
      <c r="A271" s="193" t="s">
        <v>273</v>
      </c>
      <c r="G271" s="373">
        <f>+G270+G268</f>
        <v>139269694.34279999</v>
      </c>
      <c r="H271" s="77" t="s">
        <v>266</v>
      </c>
    </row>
    <row r="272" spans="1:10" ht="15" x14ac:dyDescent="0.2">
      <c r="A272" s="161" t="s">
        <v>143</v>
      </c>
      <c r="B272" s="23"/>
      <c r="C272" s="26"/>
      <c r="D272" s="26">
        <f>+D251*1.0271</f>
        <v>17783998.2128</v>
      </c>
      <c r="G272" s="386">
        <f>+G271</f>
        <v>139269694.34279999</v>
      </c>
      <c r="H272" s="385" t="s">
        <v>259</v>
      </c>
      <c r="I272" s="385"/>
      <c r="J272" s="385"/>
    </row>
    <row r="273" spans="1:9" ht="15" x14ac:dyDescent="0.2">
      <c r="A273" s="161" t="s">
        <v>141</v>
      </c>
      <c r="B273" s="23">
        <f>21550.94-B284</f>
        <v>21394.44</v>
      </c>
      <c r="C273" s="26">
        <v>3727</v>
      </c>
      <c r="D273" s="26">
        <f>+D252*1.0271</f>
        <v>113698908.73932482</v>
      </c>
      <c r="G273" s="257">
        <v>3.2599999999999997E-2</v>
      </c>
      <c r="H273" s="77" t="s">
        <v>260</v>
      </c>
    </row>
    <row r="274" spans="1:9" ht="15" x14ac:dyDescent="0.2">
      <c r="A274" s="161" t="s">
        <v>142</v>
      </c>
      <c r="B274" s="23">
        <v>67.67</v>
      </c>
      <c r="C274" s="26">
        <v>3347.49</v>
      </c>
      <c r="D274" s="26">
        <f>+D253*1.0271</f>
        <v>236182.6003259233</v>
      </c>
      <c r="E274" s="8">
        <f>+D274+D273</f>
        <v>113935091.33965075</v>
      </c>
      <c r="G274" s="372">
        <f>+G272*G273</f>
        <v>4540192.035575279</v>
      </c>
      <c r="H274" s="77" t="s">
        <v>262</v>
      </c>
    </row>
    <row r="275" spans="1:9" ht="15.75" thickBot="1" x14ac:dyDescent="0.25">
      <c r="A275" s="161" t="s">
        <v>160</v>
      </c>
      <c r="B275" s="23">
        <v>40.869999999999997</v>
      </c>
      <c r="C275" s="26">
        <v>5456.67</v>
      </c>
      <c r="D275" s="26">
        <f>+D254*1.0271</f>
        <v>0</v>
      </c>
      <c r="G275" s="379">
        <f>+G272+G274</f>
        <v>143809886.37837526</v>
      </c>
      <c r="H275" s="380" t="s">
        <v>261</v>
      </c>
      <c r="I275" s="380"/>
    </row>
    <row r="276" spans="1:9" ht="16.5" thickTop="1" thickBot="1" x14ac:dyDescent="0.25">
      <c r="A276" s="161" t="s">
        <v>245</v>
      </c>
      <c r="B276" s="23"/>
      <c r="C276" s="26"/>
      <c r="D276" s="26">
        <v>6967327.9500000002</v>
      </c>
      <c r="G276" s="372">
        <v>1422009</v>
      </c>
      <c r="H276" s="77" t="s">
        <v>284</v>
      </c>
    </row>
    <row r="277" spans="1:9" ht="15.75" thickBot="1" x14ac:dyDescent="0.25">
      <c r="A277" s="161" t="s">
        <v>268</v>
      </c>
      <c r="B277" s="346">
        <f>SUM(B273:B275)</f>
        <v>21502.979999999996</v>
      </c>
      <c r="C277" s="26"/>
      <c r="D277" s="42">
        <f>SUM(D272:D276)</f>
        <v>138686417.50245073</v>
      </c>
      <c r="E277" s="384">
        <f>+D277+D286</f>
        <v>139269693.00245073</v>
      </c>
      <c r="F277" s="385" t="s">
        <v>276</v>
      </c>
      <c r="G277" s="379">
        <f>SUM(G275:G276)</f>
        <v>145231895.37837526</v>
      </c>
      <c r="H277" s="380"/>
      <c r="I277" s="380"/>
    </row>
    <row r="278" spans="1:9" ht="15" x14ac:dyDescent="0.2">
      <c r="A278" s="161"/>
      <c r="B278" s="23"/>
      <c r="C278" s="26"/>
      <c r="D278" s="26"/>
    </row>
    <row r="279" spans="1:9" ht="15.75" thickBot="1" x14ac:dyDescent="0.25">
      <c r="A279" s="161" t="s">
        <v>267</v>
      </c>
      <c r="B279" s="23"/>
      <c r="C279" s="26"/>
      <c r="D279" s="290">
        <f>+D277-D281</f>
        <v>135529499.42245072</v>
      </c>
    </row>
    <row r="280" spans="1:9" ht="15" x14ac:dyDescent="0.2">
      <c r="A280" s="161"/>
      <c r="B280" s="23"/>
      <c r="C280" s="26"/>
      <c r="D280" s="26"/>
      <c r="H280" s="372">
        <v>146618946</v>
      </c>
      <c r="I280" t="s">
        <v>285</v>
      </c>
    </row>
    <row r="281" spans="1:9" ht="15.75" thickBot="1" x14ac:dyDescent="0.25">
      <c r="A281" s="161" t="s">
        <v>263</v>
      </c>
      <c r="B281" s="23"/>
      <c r="C281" s="26"/>
      <c r="D281" s="354">
        <f>847.04*3727</f>
        <v>3156918.08</v>
      </c>
      <c r="E281" s="317" t="s">
        <v>282</v>
      </c>
      <c r="H281" s="291">
        <v>3.2599999999999997E-2</v>
      </c>
    </row>
    <row r="282" spans="1:9" ht="15" x14ac:dyDescent="0.2">
      <c r="A282" s="161"/>
      <c r="B282" s="23"/>
      <c r="C282" s="26"/>
      <c r="D282" s="26"/>
      <c r="H282" s="372">
        <f>H280*1.0326</f>
        <v>151398723.63960001</v>
      </c>
    </row>
    <row r="283" spans="1:9" ht="15" x14ac:dyDescent="0.2">
      <c r="A283" s="161" t="s">
        <v>145</v>
      </c>
      <c r="B283" s="23"/>
      <c r="C283" s="26"/>
      <c r="D283" s="26"/>
      <c r="H283" s="372">
        <f>G277</f>
        <v>145231895.37837526</v>
      </c>
    </row>
    <row r="284" spans="1:9" ht="15" x14ac:dyDescent="0.2">
      <c r="A284" s="161" t="s">
        <v>141</v>
      </c>
      <c r="B284" s="23">
        <v>156.5</v>
      </c>
      <c r="C284" s="26">
        <f>+C273</f>
        <v>3727</v>
      </c>
      <c r="D284" s="26">
        <f>+B284*C284</f>
        <v>583275.5</v>
      </c>
      <c r="E284" s="218">
        <f>+D277+D286</f>
        <v>139269693.00245073</v>
      </c>
      <c r="H284" s="372">
        <f>H282-H283</f>
        <v>6166828.2612247467</v>
      </c>
      <c r="I284" t="s">
        <v>287</v>
      </c>
    </row>
    <row r="285" spans="1:9" ht="15.75" thickBot="1" x14ac:dyDescent="0.25">
      <c r="A285" s="161" t="s">
        <v>142</v>
      </c>
      <c r="B285" s="23">
        <v>0</v>
      </c>
      <c r="C285" s="26">
        <f>+C274</f>
        <v>3347.49</v>
      </c>
      <c r="D285" s="26">
        <f>+B285*C285</f>
        <v>0</v>
      </c>
      <c r="H285" s="396">
        <v>0.5</v>
      </c>
      <c r="I285" t="s">
        <v>286</v>
      </c>
    </row>
    <row r="286" spans="1:9" ht="15.75" thickBot="1" x14ac:dyDescent="0.25">
      <c r="A286" s="161" t="s">
        <v>269</v>
      </c>
      <c r="B286" s="346">
        <f>SUM(B284:B285)</f>
        <v>156.5</v>
      </c>
      <c r="C286" s="26"/>
      <c r="D286" s="346">
        <f>SUM(D284:D285)</f>
        <v>583275.5</v>
      </c>
      <c r="H286" s="372">
        <f>+H284*H285</f>
        <v>3083414.1306123734</v>
      </c>
      <c r="I286" t="s">
        <v>288</v>
      </c>
    </row>
    <row r="287" spans="1:9" ht="15" x14ac:dyDescent="0.2">
      <c r="A287" s="161"/>
      <c r="B287" s="23"/>
      <c r="C287" s="26"/>
      <c r="D287" s="26"/>
    </row>
    <row r="288" spans="1:9" ht="15" x14ac:dyDescent="0.2">
      <c r="A288" s="161"/>
      <c r="B288" s="23"/>
      <c r="C288" s="26"/>
      <c r="D288" s="26"/>
    </row>
    <row r="289" spans="1:8" ht="15" x14ac:dyDescent="0.2">
      <c r="A289" s="161" t="s">
        <v>148</v>
      </c>
      <c r="B289" s="23">
        <f>+B286</f>
        <v>156.5</v>
      </c>
      <c r="C289" s="26">
        <v>6.37</v>
      </c>
      <c r="D289" s="26">
        <v>382328.1</v>
      </c>
    </row>
    <row r="292" spans="1:8" ht="26.25" x14ac:dyDescent="0.4">
      <c r="A292" s="193" t="s">
        <v>277</v>
      </c>
    </row>
    <row r="293" spans="1:8" ht="15" x14ac:dyDescent="0.2">
      <c r="A293" s="161" t="s">
        <v>143</v>
      </c>
      <c r="B293" s="23"/>
      <c r="C293" s="26"/>
      <c r="D293" s="26">
        <f>+D272*1.0326</f>
        <v>18363756.554537278</v>
      </c>
    </row>
    <row r="294" spans="1:8" ht="15" x14ac:dyDescent="0.2">
      <c r="A294" s="161" t="s">
        <v>141</v>
      </c>
      <c r="B294" s="23">
        <f>21550.94-B305</f>
        <v>21394.44</v>
      </c>
      <c r="C294" s="26">
        <v>3727</v>
      </c>
      <c r="D294" s="26">
        <f>+D273*1.0326</f>
        <v>117405493.16422682</v>
      </c>
    </row>
    <row r="295" spans="1:8" ht="15" x14ac:dyDescent="0.2">
      <c r="A295" s="161" t="s">
        <v>142</v>
      </c>
      <c r="B295" s="23">
        <v>67.67</v>
      </c>
      <c r="C295" s="26">
        <v>3347.49</v>
      </c>
      <c r="D295" s="26">
        <f>+D274*1.0326</f>
        <v>243882.1530965484</v>
      </c>
      <c r="E295" s="8">
        <f>+D295+D294</f>
        <v>117649375.31732336</v>
      </c>
    </row>
    <row r="296" spans="1:8" ht="15" x14ac:dyDescent="0.2">
      <c r="A296" s="161" t="s">
        <v>160</v>
      </c>
      <c r="B296" s="23">
        <v>40.869999999999997</v>
      </c>
      <c r="C296" s="26">
        <v>5456.67</v>
      </c>
      <c r="D296" s="26">
        <f>+D275*1.0346</f>
        <v>0</v>
      </c>
    </row>
    <row r="297" spans="1:8" ht="15.75" thickBot="1" x14ac:dyDescent="0.25">
      <c r="A297" s="161" t="s">
        <v>245</v>
      </c>
      <c r="B297" s="23"/>
      <c r="C297" s="26"/>
      <c r="D297" s="26">
        <f>7213479.01+1422009+3083414</f>
        <v>11718902.01</v>
      </c>
    </row>
    <row r="298" spans="1:8" ht="15.75" thickBot="1" x14ac:dyDescent="0.25">
      <c r="A298" s="161" t="s">
        <v>280</v>
      </c>
      <c r="B298" s="346">
        <f>SUM(B294:B296)</f>
        <v>21502.979999999996</v>
      </c>
      <c r="C298" s="26"/>
      <c r="D298" s="42">
        <f>SUM(D293:D297)</f>
        <v>147732033.88186064</v>
      </c>
      <c r="E298" s="383">
        <f>+D298+D307</f>
        <v>148315309.38186064</v>
      </c>
      <c r="F298" s="380" t="s">
        <v>289</v>
      </c>
      <c r="G298" s="380"/>
      <c r="H298" s="380"/>
    </row>
    <row r="299" spans="1:8" ht="15" x14ac:dyDescent="0.2">
      <c r="A299" s="161"/>
      <c r="B299" s="23"/>
      <c r="C299" s="26"/>
      <c r="D299" s="26"/>
    </row>
    <row r="300" spans="1:8" ht="15.75" thickBot="1" x14ac:dyDescent="0.25">
      <c r="A300" s="161" t="s">
        <v>279</v>
      </c>
      <c r="B300" s="23"/>
      <c r="C300" s="26"/>
      <c r="D300" s="290">
        <f>+D298-D302</f>
        <v>147732033.88186064</v>
      </c>
      <c r="E300" s="83">
        <f>+E298-E277</f>
        <v>9045616.3794099092</v>
      </c>
    </row>
    <row r="301" spans="1:8" ht="15" x14ac:dyDescent="0.2">
      <c r="A301" s="161"/>
      <c r="B301" s="23"/>
      <c r="C301" s="26"/>
      <c r="D301" s="26"/>
    </row>
    <row r="302" spans="1:8" ht="15.75" thickBot="1" x14ac:dyDescent="0.25">
      <c r="A302" s="161" t="s">
        <v>278</v>
      </c>
      <c r="B302" s="23"/>
      <c r="C302" s="26"/>
      <c r="D302" s="354"/>
    </row>
    <row r="303" spans="1:8" ht="15" x14ac:dyDescent="0.2">
      <c r="A303" s="161"/>
      <c r="B303" s="23"/>
      <c r="C303" s="26"/>
      <c r="D303" s="26"/>
    </row>
    <row r="304" spans="1:8" ht="15" x14ac:dyDescent="0.2">
      <c r="A304" s="161" t="s">
        <v>145</v>
      </c>
      <c r="B304" s="23"/>
      <c r="C304" s="26"/>
      <c r="D304" s="26"/>
    </row>
    <row r="305" spans="1:8" ht="15" x14ac:dyDescent="0.2">
      <c r="A305" s="161" t="s">
        <v>141</v>
      </c>
      <c r="B305" s="23">
        <v>156.5</v>
      </c>
      <c r="C305" s="26">
        <f>+C294</f>
        <v>3727</v>
      </c>
      <c r="D305" s="26">
        <f>+B305*C305</f>
        <v>583275.5</v>
      </c>
      <c r="E305" s="218">
        <f>+D298+D307</f>
        <v>148315309.38186064</v>
      </c>
      <c r="F305" s="149"/>
    </row>
    <row r="306" spans="1:8" ht="15.75" thickBot="1" x14ac:dyDescent="0.25">
      <c r="A306" s="161" t="s">
        <v>142</v>
      </c>
      <c r="B306" s="23">
        <v>0</v>
      </c>
      <c r="C306" s="26">
        <f>+C295</f>
        <v>3347.49</v>
      </c>
      <c r="D306" s="26">
        <f>+B306*C306</f>
        <v>0</v>
      </c>
    </row>
    <row r="307" spans="1:8" ht="15.75" thickBot="1" x14ac:dyDescent="0.25">
      <c r="A307" s="161" t="s">
        <v>281</v>
      </c>
      <c r="B307" s="346">
        <f>SUM(B305:B306)</f>
        <v>156.5</v>
      </c>
      <c r="C307" s="26"/>
      <c r="D307" s="346">
        <f>SUM(D305:D306)</f>
        <v>583275.5</v>
      </c>
    </row>
    <row r="308" spans="1:8" ht="15" x14ac:dyDescent="0.2">
      <c r="A308" s="161"/>
      <c r="B308" s="23"/>
      <c r="C308" s="26"/>
      <c r="D308" s="26"/>
    </row>
    <row r="309" spans="1:8" ht="15" x14ac:dyDescent="0.2">
      <c r="A309" s="161"/>
      <c r="B309" s="23"/>
      <c r="C309" s="26"/>
      <c r="D309" s="26"/>
    </row>
    <row r="310" spans="1:8" ht="15" x14ac:dyDescent="0.2">
      <c r="A310" s="161" t="s">
        <v>148</v>
      </c>
      <c r="B310" s="23">
        <f>+B307</f>
        <v>156.5</v>
      </c>
      <c r="C310" s="26">
        <v>6.37</v>
      </c>
      <c r="D310" s="26">
        <v>382328.1</v>
      </c>
    </row>
    <row r="313" spans="1:8" ht="26.25" x14ac:dyDescent="0.4">
      <c r="A313" s="193" t="s">
        <v>290</v>
      </c>
    </row>
    <row r="314" spans="1:8" ht="15" x14ac:dyDescent="0.2">
      <c r="A314" s="161" t="s">
        <v>143</v>
      </c>
      <c r="B314" s="23"/>
      <c r="C314" s="26"/>
      <c r="D314" s="26">
        <f>+D293</f>
        <v>18363756.554537278</v>
      </c>
    </row>
    <row r="315" spans="1:8" ht="15" x14ac:dyDescent="0.2">
      <c r="A315" s="161" t="s">
        <v>141</v>
      </c>
      <c r="B315" s="23">
        <f>21550.94-B326</f>
        <v>21394.44</v>
      </c>
      <c r="C315" s="26">
        <v>3727</v>
      </c>
      <c r="D315" s="26">
        <f>+D294</f>
        <v>117405493.16422682</v>
      </c>
      <c r="G315" s="149"/>
    </row>
    <row r="316" spans="1:8" ht="30" x14ac:dyDescent="0.4">
      <c r="A316" s="161" t="s">
        <v>142</v>
      </c>
      <c r="B316" s="23">
        <v>67.67</v>
      </c>
      <c r="C316" s="26">
        <v>3347.49</v>
      </c>
      <c r="D316" s="26">
        <f>+D295</f>
        <v>243882.1530965484</v>
      </c>
      <c r="E316" s="8">
        <f>+D316+D315</f>
        <v>117649375.31732336</v>
      </c>
      <c r="G316" s="401">
        <v>146618946</v>
      </c>
      <c r="H316" s="402" t="s">
        <v>294</v>
      </c>
    </row>
    <row r="317" spans="1:8" ht="30" x14ac:dyDescent="0.4">
      <c r="A317" s="161" t="s">
        <v>160</v>
      </c>
      <c r="B317" s="23">
        <v>40.869999999999997</v>
      </c>
      <c r="C317" s="26">
        <v>5456.67</v>
      </c>
      <c r="D317" s="26">
        <f>+D296*1.0346</f>
        <v>0</v>
      </c>
      <c r="G317" s="401">
        <f>+G316*3.26%</f>
        <v>4779777.6395999994</v>
      </c>
      <c r="H317" s="402" t="s">
        <v>291</v>
      </c>
    </row>
    <row r="318" spans="1:8" ht="30.75" thickBot="1" x14ac:dyDescent="0.45">
      <c r="A318" s="161" t="s">
        <v>245</v>
      </c>
      <c r="B318" s="23"/>
      <c r="C318" s="26"/>
      <c r="D318" s="26">
        <v>14802316.27</v>
      </c>
      <c r="G318" s="403">
        <f>SUM(G316:G317)</f>
        <v>151398723.63960001</v>
      </c>
      <c r="H318" s="402" t="s">
        <v>293</v>
      </c>
    </row>
    <row r="319" spans="1:8" ht="16.5" thickTop="1" thickBot="1" x14ac:dyDescent="0.25">
      <c r="A319" s="161" t="s">
        <v>280</v>
      </c>
      <c r="B319" s="346">
        <f>SUM(B315:B317)</f>
        <v>21502.979999999996</v>
      </c>
      <c r="C319" s="26"/>
      <c r="D319" s="42">
        <f>SUM(D314:D318)</f>
        <v>150815448.14186066</v>
      </c>
      <c r="E319" s="398">
        <f>+D319+D328</f>
        <v>151398723.64186066</v>
      </c>
      <c r="F319" s="399"/>
      <c r="G319" s="400"/>
      <c r="H319" s="399"/>
    </row>
    <row r="320" spans="1:8" ht="15" x14ac:dyDescent="0.2">
      <c r="A320" s="161"/>
      <c r="B320" s="23"/>
      <c r="C320" s="26"/>
      <c r="D320" s="26"/>
      <c r="G320" s="149"/>
    </row>
    <row r="321" spans="1:7" ht="15.75" thickBot="1" x14ac:dyDescent="0.25">
      <c r="A321" s="161" t="s">
        <v>279</v>
      </c>
      <c r="B321" s="23"/>
      <c r="C321" s="26"/>
      <c r="D321" s="290">
        <f>+D319-D323</f>
        <v>150815448.14186066</v>
      </c>
      <c r="E321" s="83">
        <f>+E319-E298</f>
        <v>3083414.2600000203</v>
      </c>
      <c r="G321" s="149"/>
    </row>
    <row r="322" spans="1:7" ht="15" x14ac:dyDescent="0.2">
      <c r="A322" s="161"/>
      <c r="B322" s="23"/>
      <c r="C322" s="26"/>
      <c r="D322" s="26"/>
      <c r="G322" s="149"/>
    </row>
    <row r="323" spans="1:7" ht="15.75" thickBot="1" x14ac:dyDescent="0.25">
      <c r="A323" s="161" t="s">
        <v>278</v>
      </c>
      <c r="B323" s="23"/>
      <c r="C323" s="26"/>
      <c r="D323" s="354"/>
      <c r="G323" s="149"/>
    </row>
    <row r="324" spans="1:7" ht="15" x14ac:dyDescent="0.2">
      <c r="A324" s="161"/>
      <c r="B324" s="23"/>
      <c r="C324" s="26"/>
      <c r="D324" s="26"/>
      <c r="G324" s="149"/>
    </row>
    <row r="325" spans="1:7" ht="15" x14ac:dyDescent="0.2">
      <c r="A325" s="161" t="s">
        <v>145</v>
      </c>
      <c r="B325" s="23"/>
      <c r="C325" s="26"/>
      <c r="D325" s="26"/>
      <c r="G325" s="149"/>
    </row>
    <row r="326" spans="1:7" ht="15" x14ac:dyDescent="0.2">
      <c r="A326" s="161" t="s">
        <v>141</v>
      </c>
      <c r="B326" s="23">
        <v>156.5</v>
      </c>
      <c r="C326" s="26">
        <f>+C315</f>
        <v>3727</v>
      </c>
      <c r="D326" s="26">
        <f>+B326*C326</f>
        <v>583275.5</v>
      </c>
      <c r="E326" s="339">
        <f>+D319+D328</f>
        <v>151398723.64186066</v>
      </c>
      <c r="F326" s="149"/>
      <c r="G326" s="149"/>
    </row>
    <row r="327" spans="1:7" ht="15.75" thickBot="1" x14ac:dyDescent="0.25">
      <c r="A327" s="161" t="s">
        <v>142</v>
      </c>
      <c r="B327" s="23">
        <v>0</v>
      </c>
      <c r="C327" s="26">
        <f>+C316</f>
        <v>3347.49</v>
      </c>
      <c r="D327" s="26">
        <f>+B327*C327</f>
        <v>0</v>
      </c>
      <c r="G327" s="149"/>
    </row>
    <row r="328" spans="1:7" ht="15.75" thickBot="1" x14ac:dyDescent="0.25">
      <c r="A328" s="161" t="s">
        <v>281</v>
      </c>
      <c r="B328" s="346">
        <f>SUM(B326:B327)</f>
        <v>156.5</v>
      </c>
      <c r="C328" s="26"/>
      <c r="D328" s="346">
        <f>SUM(D326:D327)</f>
        <v>583275.5</v>
      </c>
      <c r="G328" s="149"/>
    </row>
    <row r="329" spans="1:7" ht="15" x14ac:dyDescent="0.2">
      <c r="A329" s="161"/>
      <c r="B329" s="23"/>
      <c r="C329" s="26"/>
      <c r="D329" s="26"/>
      <c r="G329" s="149"/>
    </row>
    <row r="330" spans="1:7" ht="15" x14ac:dyDescent="0.2">
      <c r="A330" s="161"/>
      <c r="B330" s="23"/>
      <c r="C330" s="26"/>
      <c r="D330" s="26"/>
    </row>
    <row r="331" spans="1:7" ht="15" x14ac:dyDescent="0.2">
      <c r="A331" s="161" t="s">
        <v>148</v>
      </c>
      <c r="B331" s="23">
        <f>+B328</f>
        <v>156.5</v>
      </c>
      <c r="C331" s="26">
        <v>6.37</v>
      </c>
      <c r="D331" s="26">
        <v>382328.1</v>
      </c>
    </row>
    <row r="334" spans="1:7" ht="26.25" x14ac:dyDescent="0.4">
      <c r="A334" s="193" t="s">
        <v>298</v>
      </c>
    </row>
    <row r="335" spans="1:7" ht="15" x14ac:dyDescent="0.2">
      <c r="A335" s="161" t="s">
        <v>143</v>
      </c>
      <c r="B335" s="23"/>
      <c r="C335" s="26"/>
      <c r="D335" s="26">
        <v>17193387</v>
      </c>
    </row>
    <row r="336" spans="1:7" ht="15" x14ac:dyDescent="0.2">
      <c r="A336" s="161" t="s">
        <v>141</v>
      </c>
      <c r="B336" s="23">
        <f>+'Budget Premisis'!B40</f>
        <v>21992.526597848508</v>
      </c>
      <c r="C336" s="26">
        <v>6402.4997302566098</v>
      </c>
      <c r="D336" s="26">
        <f>158318809-D335-D337-D338-D349</f>
        <v>140052390.52508613</v>
      </c>
      <c r="G336" s="149"/>
    </row>
    <row r="337" spans="1:8" ht="30" x14ac:dyDescent="0.4">
      <c r="A337" s="161" t="s">
        <v>142</v>
      </c>
      <c r="B337" s="23">
        <f>+'Budget Premisis'!B20</f>
        <v>71.33</v>
      </c>
      <c r="C337" s="26">
        <f>+'Budget Premisis'!D20</f>
        <v>3380.6252628627508</v>
      </c>
      <c r="D337" s="26">
        <v>241140</v>
      </c>
      <c r="E337" s="8">
        <f>+D337+D336</f>
        <v>140293530.52508613</v>
      </c>
      <c r="G337" s="401">
        <f>+D342+D349</f>
        <v>158318809</v>
      </c>
      <c r="H337" s="402" t="s">
        <v>299</v>
      </c>
    </row>
    <row r="338" spans="1:8" ht="30" x14ac:dyDescent="0.4">
      <c r="A338" s="161" t="s">
        <v>160</v>
      </c>
      <c r="B338" s="23">
        <f>+'Budget Premisis'!B19</f>
        <v>42.06</v>
      </c>
      <c r="C338" s="26">
        <f>+'Budget Premisis'!D19</f>
        <v>5621.9448407037562</v>
      </c>
      <c r="D338" s="26">
        <v>236459</v>
      </c>
      <c r="G338" s="401">
        <v>0</v>
      </c>
      <c r="H338" s="402" t="s">
        <v>291</v>
      </c>
    </row>
    <row r="339" spans="1:8" ht="30.75" thickBot="1" x14ac:dyDescent="0.45">
      <c r="A339" s="161" t="s">
        <v>245</v>
      </c>
      <c r="B339" s="23"/>
      <c r="C339" s="26"/>
      <c r="D339" s="26">
        <v>0</v>
      </c>
      <c r="G339" s="403">
        <f>SUM(G337:G338)</f>
        <v>158318809</v>
      </c>
      <c r="H339" s="402" t="s">
        <v>293</v>
      </c>
    </row>
    <row r="340" spans="1:8" ht="16.5" thickTop="1" thickBot="1" x14ac:dyDescent="0.25">
      <c r="A340" s="161" t="s">
        <v>280</v>
      </c>
      <c r="B340" s="346">
        <f>SUM(B336:B338)</f>
        <v>22105.916597848511</v>
      </c>
      <c r="C340" s="26"/>
      <c r="D340" s="42">
        <f>SUM(D335:D339)</f>
        <v>157723376.52508613</v>
      </c>
      <c r="E340" s="398">
        <f>+D340+D349</f>
        <v>158318809</v>
      </c>
      <c r="F340" s="399"/>
      <c r="G340" s="400"/>
      <c r="H340" s="399"/>
    </row>
    <row r="341" spans="1:8" ht="15" x14ac:dyDescent="0.2">
      <c r="A341" s="161"/>
      <c r="B341" s="23"/>
      <c r="C341" s="26"/>
      <c r="D341" s="26"/>
      <c r="G341" s="149"/>
    </row>
    <row r="342" spans="1:8" ht="15.75" thickBot="1" x14ac:dyDescent="0.25">
      <c r="A342" s="161" t="s">
        <v>279</v>
      </c>
      <c r="B342" s="23"/>
      <c r="C342" s="26"/>
      <c r="D342" s="290">
        <f>+D340-D344</f>
        <v>157723376.52508613</v>
      </c>
      <c r="E342" s="83">
        <f>+E340-E319</f>
        <v>6920085.3581393361</v>
      </c>
      <c r="G342" s="149"/>
    </row>
    <row r="343" spans="1:8" ht="15" x14ac:dyDescent="0.2">
      <c r="A343" s="161"/>
      <c r="B343" s="23"/>
      <c r="C343" s="26"/>
      <c r="D343" s="26"/>
      <c r="G343" s="149"/>
    </row>
    <row r="344" spans="1:8" ht="15.75" thickBot="1" x14ac:dyDescent="0.25">
      <c r="A344" s="161" t="s">
        <v>278</v>
      </c>
      <c r="B344" s="23"/>
      <c r="C344" s="26"/>
      <c r="D344" s="354"/>
      <c r="G344" s="149"/>
    </row>
    <row r="345" spans="1:8" ht="15" x14ac:dyDescent="0.2">
      <c r="A345" s="161"/>
      <c r="B345" s="23"/>
      <c r="C345" s="26"/>
      <c r="D345" s="26"/>
      <c r="G345" s="149"/>
    </row>
    <row r="346" spans="1:8" ht="15" x14ac:dyDescent="0.2">
      <c r="A346" s="161" t="s">
        <v>145</v>
      </c>
      <c r="B346" s="23"/>
      <c r="C346" s="26"/>
      <c r="D346" s="26"/>
      <c r="G346" s="149"/>
    </row>
    <row r="347" spans="1:8" ht="15" x14ac:dyDescent="0.2">
      <c r="A347" s="161" t="s">
        <v>141</v>
      </c>
      <c r="B347" s="23">
        <f>+'Budget Premisis'!B32</f>
        <v>93</v>
      </c>
      <c r="C347" s="26">
        <f>+C336</f>
        <v>6402.4997302566098</v>
      </c>
      <c r="D347" s="26">
        <f>+B347*C347</f>
        <v>595432.47491386475</v>
      </c>
      <c r="E347" s="339">
        <f>+D340+D349</f>
        <v>158318809</v>
      </c>
      <c r="F347" s="149"/>
      <c r="G347" s="149"/>
    </row>
    <row r="348" spans="1:8" ht="15.75" thickBot="1" x14ac:dyDescent="0.25">
      <c r="A348" s="161" t="s">
        <v>142</v>
      </c>
      <c r="B348" s="23">
        <v>0</v>
      </c>
      <c r="C348" s="26">
        <f>+C337</f>
        <v>3380.6252628627508</v>
      </c>
      <c r="D348" s="26">
        <f>+B348*C348</f>
        <v>0</v>
      </c>
      <c r="G348" s="149"/>
    </row>
    <row r="349" spans="1:8" ht="15.75" thickBot="1" x14ac:dyDescent="0.25">
      <c r="A349" s="161" t="s">
        <v>281</v>
      </c>
      <c r="B349" s="346">
        <f>SUM(B347:B348)</f>
        <v>93</v>
      </c>
      <c r="C349" s="26"/>
      <c r="D349" s="346">
        <f>SUM(D347:D348)</f>
        <v>595432.47491386475</v>
      </c>
      <c r="G349" s="149"/>
    </row>
    <row r="350" spans="1:8" ht="15" x14ac:dyDescent="0.2">
      <c r="A350" s="161"/>
      <c r="B350" s="23"/>
      <c r="C350" s="26"/>
      <c r="D350" s="26"/>
      <c r="G350" s="149"/>
    </row>
    <row r="351" spans="1:8" ht="15" x14ac:dyDescent="0.2">
      <c r="A351" s="161"/>
      <c r="B351" s="23"/>
      <c r="C351" s="26"/>
      <c r="D351" s="26"/>
    </row>
    <row r="352" spans="1:8" ht="15" x14ac:dyDescent="0.2">
      <c r="A352" s="161" t="s">
        <v>148</v>
      </c>
      <c r="B352" s="23">
        <f>+B349</f>
        <v>93</v>
      </c>
      <c r="C352" s="26">
        <v>6.37</v>
      </c>
      <c r="D352" s="26">
        <v>382328.1</v>
      </c>
    </row>
  </sheetData>
  <mergeCells count="4">
    <mergeCell ref="E50:G50"/>
    <mergeCell ref="E72:G72"/>
    <mergeCell ref="E93:G93"/>
    <mergeCell ref="E114:G114"/>
  </mergeCells>
  <phoneticPr fontId="0" type="noConversion"/>
  <pageMargins left="0.75" right="0.75" top="1" bottom="1" header="0.5" footer="0.5"/>
  <pageSetup scale="28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45"/>
  <sheetViews>
    <sheetView topLeftCell="A4" workbookViewId="0">
      <pane xSplit="1" ySplit="2" topLeftCell="C15" activePane="bottomRight" state="frozen"/>
      <selection activeCell="A4" sqref="A4"/>
      <selection pane="topRight" activeCell="B4" sqref="B4"/>
      <selection pane="bottomLeft" activeCell="A6" sqref="A6"/>
      <selection pane="bottomRight" activeCell="E18" sqref="E18"/>
    </sheetView>
  </sheetViews>
  <sheetFormatPr defaultRowHeight="15" x14ac:dyDescent="0.2"/>
  <cols>
    <col min="1" max="1" width="37.5703125" customWidth="1"/>
    <col min="2" max="2" width="19.42578125" customWidth="1"/>
    <col min="3" max="3" width="26.5703125" style="4" customWidth="1"/>
    <col min="4" max="5" width="19.5703125" style="4" customWidth="1"/>
    <col min="6" max="6" width="22.5703125" style="34" customWidth="1"/>
    <col min="7" max="7" width="18.42578125" customWidth="1"/>
  </cols>
  <sheetData>
    <row r="1" spans="1:7" ht="18" x14ac:dyDescent="0.25">
      <c r="A1" s="1" t="s">
        <v>5</v>
      </c>
      <c r="B1" s="34"/>
      <c r="C1"/>
      <c r="D1"/>
      <c r="E1"/>
    </row>
    <row r="2" spans="1:7" s="61" customFormat="1" ht="18" x14ac:dyDescent="0.25">
      <c r="A2" s="75"/>
      <c r="B2" s="75"/>
      <c r="C2" s="79"/>
      <c r="D2" s="78"/>
      <c r="E2" s="78"/>
      <c r="F2" s="80"/>
    </row>
    <row r="3" spans="1:7" ht="18" x14ac:dyDescent="0.25">
      <c r="A3" s="1" t="s">
        <v>6</v>
      </c>
      <c r="B3" s="1"/>
    </row>
    <row r="5" spans="1:7" s="73" customFormat="1" ht="48" thickBot="1" x14ac:dyDescent="0.3">
      <c r="A5" s="68" t="s">
        <v>0</v>
      </c>
      <c r="B5" s="68" t="s">
        <v>42</v>
      </c>
      <c r="C5" s="3" t="s">
        <v>63</v>
      </c>
      <c r="D5" s="3" t="s">
        <v>64</v>
      </c>
      <c r="E5" s="3" t="s">
        <v>309</v>
      </c>
      <c r="F5" s="3" t="s">
        <v>44</v>
      </c>
      <c r="G5" s="195"/>
    </row>
    <row r="7" spans="1:7" s="8" customFormat="1" x14ac:dyDescent="0.2">
      <c r="A7" s="9"/>
      <c r="B7" s="9"/>
      <c r="C7" s="9"/>
      <c r="D7" s="9"/>
      <c r="E7" s="9"/>
      <c r="F7" s="14"/>
    </row>
    <row r="8" spans="1:7" s="8" customFormat="1" ht="15.75" x14ac:dyDescent="0.25">
      <c r="A8" s="7" t="s">
        <v>1</v>
      </c>
      <c r="B8" s="14">
        <v>11712.88</v>
      </c>
      <c r="C8" s="9">
        <f>IF(B8&gt;=10000,3500000,3000000)</f>
        <v>3500000</v>
      </c>
      <c r="D8" s="12"/>
      <c r="E8" s="308">
        <v>4719754</v>
      </c>
      <c r="F8" s="14">
        <f>+E8*'Budget Premisis'!$B$6</f>
        <v>0</v>
      </c>
    </row>
    <row r="9" spans="1:7" s="8" customFormat="1" x14ac:dyDescent="0.2">
      <c r="A9" s="11" t="s">
        <v>123</v>
      </c>
      <c r="B9" s="15">
        <v>750</v>
      </c>
      <c r="C9" s="13"/>
      <c r="D9" s="9">
        <f>IF(B9&gt;=1000,1000000,IF(B9&gt;=750,750000,IF(B9&gt;=500,500000,IF(B9&gt;=250,250000,IF(B9&gt;=100,125000,0)))))</f>
        <v>750000</v>
      </c>
      <c r="E9" s="308">
        <v>1348501.11</v>
      </c>
      <c r="F9" s="14">
        <f>+E9*'Budget Premisis'!$B$6</f>
        <v>0</v>
      </c>
    </row>
    <row r="10" spans="1:7" s="8" customFormat="1" x14ac:dyDescent="0.2">
      <c r="A10" s="11" t="s">
        <v>39</v>
      </c>
      <c r="B10" s="74"/>
      <c r="C10" s="13"/>
      <c r="D10" s="9">
        <v>1000000</v>
      </c>
      <c r="E10" s="308">
        <v>1348501.11</v>
      </c>
      <c r="F10" s="14">
        <f>+E10*'Budget Premisis'!$B$6</f>
        <v>0</v>
      </c>
    </row>
    <row r="11" spans="1:7" s="8" customFormat="1" x14ac:dyDescent="0.2">
      <c r="A11" s="9"/>
      <c r="B11" s="14"/>
      <c r="C11" s="12"/>
      <c r="D11" s="12"/>
      <c r="E11" s="308">
        <v>0</v>
      </c>
      <c r="F11" s="14">
        <f>+E11*'Budget Premisis'!$B$6</f>
        <v>0</v>
      </c>
    </row>
    <row r="12" spans="1:7" s="8" customFormat="1" ht="15.75" x14ac:dyDescent="0.25">
      <c r="A12" s="7" t="s">
        <v>2</v>
      </c>
      <c r="B12" s="14">
        <v>2955</v>
      </c>
      <c r="C12" s="9">
        <f>IF(B12&gt;=10000,3500000,3000000)</f>
        <v>3000000</v>
      </c>
      <c r="D12" s="12"/>
      <c r="E12" s="308">
        <v>4045502.28</v>
      </c>
      <c r="F12" s="14">
        <f>+E12*'Budget Premisis'!$B$6</f>
        <v>0</v>
      </c>
    </row>
    <row r="13" spans="1:7" s="8" customFormat="1" x14ac:dyDescent="0.2">
      <c r="A13" s="9" t="s">
        <v>38</v>
      </c>
      <c r="B13" s="12"/>
      <c r="C13" s="12"/>
      <c r="D13" s="9">
        <v>1000000</v>
      </c>
      <c r="E13" s="308">
        <v>1348501.11</v>
      </c>
      <c r="F13" s="14">
        <f>+E13*'Budget Premisis'!$B$6</f>
        <v>0</v>
      </c>
    </row>
    <row r="14" spans="1:7" s="8" customFormat="1" x14ac:dyDescent="0.2">
      <c r="A14" s="9" t="s">
        <v>41</v>
      </c>
      <c r="B14" s="74"/>
      <c r="C14" s="12"/>
      <c r="D14" s="12"/>
      <c r="E14" s="308">
        <v>0</v>
      </c>
      <c r="F14" s="14">
        <f>+E14*'Budget Premisis'!$B$6</f>
        <v>0</v>
      </c>
    </row>
    <row r="15" spans="1:7" s="8" customFormat="1" x14ac:dyDescent="0.2">
      <c r="A15" s="9" t="s">
        <v>40</v>
      </c>
      <c r="B15" s="15">
        <v>250</v>
      </c>
      <c r="C15" s="12"/>
      <c r="D15" s="9">
        <f>IF(B15&gt;=1000,1000000,IF(B15&gt;=750,750000,IF(B15&gt;=500,500000,IF(B15&gt;=250,250000,IF(B15&gt;=100,125000,0)))))</f>
        <v>250000</v>
      </c>
      <c r="E15" s="308">
        <f>337126</f>
        <v>337126</v>
      </c>
      <c r="F15" s="14">
        <f>+E15*'Budget Premisis'!$B$6</f>
        <v>0</v>
      </c>
    </row>
    <row r="16" spans="1:7" s="8" customFormat="1" x14ac:dyDescent="0.2">
      <c r="A16" s="9"/>
      <c r="B16" s="14"/>
      <c r="C16" s="12"/>
      <c r="D16" s="12"/>
      <c r="E16" s="308">
        <v>0</v>
      </c>
      <c r="F16" s="14">
        <f>+E16*'Budget Premisis'!$B$6</f>
        <v>0</v>
      </c>
    </row>
    <row r="17" spans="1:7" s="8" customFormat="1" ht="15.75" x14ac:dyDescent="0.25">
      <c r="A17" s="7" t="s">
        <v>3</v>
      </c>
      <c r="B17" s="14">
        <v>2962.69</v>
      </c>
      <c r="C17" s="9">
        <f>IF(B17&gt;=10000,3500000,3000000)</f>
        <v>3000000</v>
      </c>
      <c r="D17" s="12"/>
      <c r="E17" s="308">
        <v>4045502.28</v>
      </c>
      <c r="F17" s="14">
        <f>+E17*'Budget Premisis'!$B$6</f>
        <v>0</v>
      </c>
      <c r="G17" s="257"/>
    </row>
    <row r="18" spans="1:7" s="8" customFormat="1" x14ac:dyDescent="0.2">
      <c r="A18" s="9"/>
      <c r="B18" s="9"/>
      <c r="C18" s="9"/>
      <c r="D18" s="9"/>
      <c r="E18" s="190">
        <f>SUM(E8:E17)</f>
        <v>17193387.890000001</v>
      </c>
      <c r="F18" s="14">
        <f>SUM(F8:F17)</f>
        <v>0</v>
      </c>
    </row>
    <row r="19" spans="1:7" s="8" customFormat="1" x14ac:dyDescent="0.2">
      <c r="A19" s="9"/>
      <c r="B19" s="9"/>
      <c r="C19" s="9"/>
      <c r="D19" s="9"/>
      <c r="E19" s="9"/>
      <c r="F19" s="14">
        <f>+E18+F18</f>
        <v>17193387.890000001</v>
      </c>
    </row>
    <row r="20" spans="1:7" s="8" customFormat="1" x14ac:dyDescent="0.2">
      <c r="C20" s="9"/>
      <c r="D20" s="9"/>
      <c r="E20" s="9"/>
      <c r="F20" s="14"/>
    </row>
    <row r="21" spans="1:7" s="8" customFormat="1" x14ac:dyDescent="0.2">
      <c r="C21" s="9"/>
      <c r="D21" s="9"/>
      <c r="E21" s="9"/>
      <c r="F21" s="14"/>
    </row>
    <row r="22" spans="1:7" s="8" customFormat="1" x14ac:dyDescent="0.2">
      <c r="C22" s="9"/>
      <c r="D22" s="9"/>
      <c r="E22" s="9"/>
      <c r="F22" s="14"/>
    </row>
    <row r="23" spans="1:7" s="8" customFormat="1" x14ac:dyDescent="0.2">
      <c r="C23" s="9"/>
      <c r="D23" s="9"/>
      <c r="E23" s="9"/>
      <c r="F23" s="14"/>
    </row>
    <row r="24" spans="1:7" s="8" customFormat="1" x14ac:dyDescent="0.2">
      <c r="C24" s="9"/>
      <c r="D24" s="9"/>
      <c r="E24" s="9"/>
      <c r="F24" s="14"/>
    </row>
    <row r="25" spans="1:7" s="8" customFormat="1" x14ac:dyDescent="0.2">
      <c r="C25" s="9"/>
      <c r="D25" s="9"/>
      <c r="E25" s="9"/>
      <c r="F25" s="14"/>
    </row>
    <row r="26" spans="1:7" s="8" customFormat="1" x14ac:dyDescent="0.2">
      <c r="C26" s="9"/>
      <c r="D26" s="9"/>
      <c r="E26" s="9"/>
      <c r="F26" s="14"/>
    </row>
    <row r="27" spans="1:7" s="8" customFormat="1" x14ac:dyDescent="0.2">
      <c r="C27" s="9"/>
      <c r="D27" s="9"/>
      <c r="E27" s="9"/>
      <c r="F27" s="14"/>
    </row>
    <row r="28" spans="1:7" s="8" customFormat="1" x14ac:dyDescent="0.2">
      <c r="C28" s="9"/>
      <c r="D28" s="9"/>
      <c r="E28" s="9"/>
      <c r="F28" s="14"/>
    </row>
    <row r="29" spans="1:7" s="8" customFormat="1" x14ac:dyDescent="0.2">
      <c r="C29" s="9"/>
      <c r="D29" s="9"/>
      <c r="E29" s="9"/>
      <c r="F29" s="14"/>
    </row>
    <row r="30" spans="1:7" s="8" customFormat="1" x14ac:dyDescent="0.2">
      <c r="C30" s="9"/>
      <c r="D30" s="9"/>
      <c r="E30" s="9"/>
      <c r="F30" s="14"/>
    </row>
    <row r="31" spans="1:7" s="8" customFormat="1" x14ac:dyDescent="0.2">
      <c r="C31" s="9"/>
      <c r="D31" s="9"/>
      <c r="E31" s="9"/>
      <c r="F31" s="14"/>
    </row>
    <row r="32" spans="1:7" s="8" customFormat="1" x14ac:dyDescent="0.2">
      <c r="C32" s="9"/>
      <c r="D32" s="9"/>
      <c r="E32" s="9"/>
      <c r="F32" s="14"/>
    </row>
    <row r="33" spans="3:6" s="8" customFormat="1" x14ac:dyDescent="0.2">
      <c r="C33" s="9"/>
      <c r="D33" s="9"/>
      <c r="E33" s="9"/>
      <c r="F33" s="14"/>
    </row>
    <row r="34" spans="3:6" s="8" customFormat="1" x14ac:dyDescent="0.2">
      <c r="C34" s="9"/>
      <c r="D34" s="9"/>
      <c r="E34" s="9"/>
      <c r="F34" s="14"/>
    </row>
    <row r="35" spans="3:6" s="8" customFormat="1" x14ac:dyDescent="0.2">
      <c r="C35" s="9"/>
      <c r="D35" s="9"/>
      <c r="E35" s="9"/>
      <c r="F35" s="14"/>
    </row>
    <row r="36" spans="3:6" s="8" customFormat="1" x14ac:dyDescent="0.2">
      <c r="C36" s="9"/>
      <c r="D36" s="9"/>
      <c r="E36" s="9"/>
      <c r="F36" s="14"/>
    </row>
    <row r="37" spans="3:6" s="8" customFormat="1" x14ac:dyDescent="0.2">
      <c r="C37" s="9"/>
      <c r="D37" s="9"/>
      <c r="E37" s="9"/>
      <c r="F37" s="14"/>
    </row>
    <row r="38" spans="3:6" s="8" customFormat="1" x14ac:dyDescent="0.2">
      <c r="C38" s="9"/>
      <c r="D38" s="9"/>
      <c r="E38" s="9"/>
      <c r="F38" s="14"/>
    </row>
    <row r="39" spans="3:6" s="8" customFormat="1" x14ac:dyDescent="0.2">
      <c r="C39" s="9"/>
      <c r="D39" s="9"/>
      <c r="E39" s="9"/>
      <c r="F39" s="14"/>
    </row>
    <row r="40" spans="3:6" s="8" customFormat="1" x14ac:dyDescent="0.2">
      <c r="C40" s="9"/>
      <c r="D40" s="9"/>
      <c r="E40" s="9"/>
      <c r="F40" s="14"/>
    </row>
    <row r="41" spans="3:6" s="8" customFormat="1" x14ac:dyDescent="0.2">
      <c r="C41" s="9"/>
      <c r="D41" s="9"/>
      <c r="E41" s="9"/>
      <c r="F41" s="14"/>
    </row>
    <row r="42" spans="3:6" s="8" customFormat="1" x14ac:dyDescent="0.2">
      <c r="C42" s="9"/>
      <c r="D42" s="9"/>
      <c r="E42" s="9"/>
      <c r="F42" s="14"/>
    </row>
    <row r="43" spans="3:6" s="8" customFormat="1" x14ac:dyDescent="0.2">
      <c r="C43" s="9"/>
      <c r="D43" s="9"/>
      <c r="E43" s="9"/>
      <c r="F43" s="14"/>
    </row>
    <row r="44" spans="3:6" s="8" customFormat="1" x14ac:dyDescent="0.2">
      <c r="C44" s="9"/>
      <c r="D44" s="9"/>
      <c r="E44" s="9"/>
      <c r="F44" s="14"/>
    </row>
    <row r="45" spans="3:6" s="8" customFormat="1" x14ac:dyDescent="0.2">
      <c r="C45" s="9"/>
      <c r="D45" s="9"/>
      <c r="E45" s="9"/>
      <c r="F45" s="14"/>
    </row>
  </sheetData>
  <phoneticPr fontId="0" type="noConversion"/>
  <pageMargins left="0.75" right="0.75" top="1" bottom="1" header="0.5" footer="0.5"/>
  <pageSetup scale="8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45"/>
  <sheetViews>
    <sheetView workbookViewId="0">
      <selection activeCell="C12" sqref="C12"/>
    </sheetView>
  </sheetViews>
  <sheetFormatPr defaultColWidth="9.42578125" defaultRowHeight="12.75" x14ac:dyDescent="0.2"/>
  <cols>
    <col min="1" max="1" width="7.5703125" style="18" customWidth="1"/>
    <col min="2" max="2" width="51.28515625" style="18" customWidth="1"/>
    <col min="3" max="3" width="15.28515625" style="18" bestFit="1" customWidth="1"/>
    <col min="4" max="4" width="12.42578125" style="19" customWidth="1"/>
    <col min="5" max="5" width="11.5703125" style="18" bestFit="1" customWidth="1"/>
    <col min="6" max="6" width="14.5703125" style="18" customWidth="1"/>
    <col min="7" max="7" width="14.5703125" style="20" customWidth="1"/>
    <col min="8" max="8" width="14.5703125" style="18" customWidth="1"/>
    <col min="9" max="9" width="12.42578125" style="18" bestFit="1" customWidth="1"/>
    <col min="10" max="10" width="15" style="18" bestFit="1" customWidth="1"/>
    <col min="11" max="16384" width="9.42578125" style="18"/>
  </cols>
  <sheetData>
    <row r="1" spans="1:11" ht="18" x14ac:dyDescent="0.25">
      <c r="A1" s="1" t="s">
        <v>5</v>
      </c>
    </row>
    <row r="2" spans="1:11" ht="18" x14ac:dyDescent="0.25">
      <c r="A2" s="1"/>
    </row>
    <row r="3" spans="1:11" ht="18" x14ac:dyDescent="0.25">
      <c r="A3" s="17" t="s">
        <v>133</v>
      </c>
      <c r="G3" s="241"/>
      <c r="H3" s="244"/>
      <c r="I3" s="246"/>
    </row>
    <row r="4" spans="1:11" ht="13.5" thickBot="1" x14ac:dyDescent="0.25">
      <c r="F4" s="185" t="s">
        <v>230</v>
      </c>
      <c r="G4" s="241"/>
      <c r="I4" s="186"/>
      <c r="J4" s="186"/>
      <c r="K4" s="186"/>
    </row>
    <row r="5" spans="1:11" ht="13.5" thickBot="1" x14ac:dyDescent="0.25">
      <c r="B5" s="21" t="s">
        <v>129</v>
      </c>
      <c r="C5" s="22"/>
      <c r="D5" s="22"/>
      <c r="E5" s="22">
        <f>+[6]Summary!$J$59</f>
        <v>31401207.582077824</v>
      </c>
      <c r="F5" s="187">
        <f>+[6]Summary!$J$54</f>
        <v>-1538150</v>
      </c>
      <c r="G5" s="242">
        <f>E5+F5</f>
        <v>29863057.582077824</v>
      </c>
      <c r="H5" s="417" t="s">
        <v>318</v>
      </c>
      <c r="I5" s="188"/>
      <c r="J5" s="188"/>
      <c r="K5" s="186"/>
    </row>
    <row r="6" spans="1:11" ht="14.25" thickTop="1" thickBot="1" x14ac:dyDescent="0.25">
      <c r="F6" s="186"/>
      <c r="G6" s="243">
        <v>0</v>
      </c>
      <c r="H6" s="370" t="s">
        <v>271</v>
      </c>
      <c r="I6" s="186"/>
      <c r="J6" s="188"/>
      <c r="K6" s="186"/>
    </row>
    <row r="7" spans="1:11" ht="13.5" thickBot="1" x14ac:dyDescent="0.25">
      <c r="B7" s="21" t="s">
        <v>130</v>
      </c>
      <c r="C7" s="22"/>
      <c r="D7" s="22"/>
      <c r="E7" s="22">
        <v>0</v>
      </c>
      <c r="F7" s="186"/>
      <c r="G7" s="371">
        <f>+G6-G5</f>
        <v>-29863057.582077824</v>
      </c>
      <c r="H7" s="370" t="s">
        <v>272</v>
      </c>
      <c r="I7" s="245"/>
      <c r="J7" s="188"/>
      <c r="K7" s="186"/>
    </row>
    <row r="8" spans="1:11" ht="14.25" thickTop="1" thickBot="1" x14ac:dyDescent="0.25">
      <c r="F8" s="185"/>
      <c r="G8" s="244"/>
      <c r="H8" s="245"/>
      <c r="I8" s="245"/>
      <c r="J8" s="188"/>
      <c r="K8" s="186"/>
    </row>
    <row r="9" spans="1:11" ht="13.5" thickBot="1" x14ac:dyDescent="0.25">
      <c r="B9" s="21" t="s">
        <v>82</v>
      </c>
      <c r="C9" s="22"/>
      <c r="D9" s="22"/>
      <c r="E9" s="22">
        <f>+G7</f>
        <v>-29863057.582077824</v>
      </c>
      <c r="F9" s="188"/>
      <c r="G9" s="245"/>
      <c r="H9" s="245"/>
      <c r="I9" s="245"/>
      <c r="J9" s="188"/>
      <c r="K9" s="186"/>
    </row>
    <row r="10" spans="1:11" ht="13.5" thickTop="1" x14ac:dyDescent="0.2">
      <c r="F10" s="186"/>
      <c r="G10" s="189"/>
      <c r="H10" s="186"/>
      <c r="I10" s="186"/>
      <c r="J10" s="186"/>
      <c r="K10" s="186"/>
    </row>
    <row r="12" spans="1:11" x14ac:dyDescent="0.2">
      <c r="B12" s="120" t="s">
        <v>83</v>
      </c>
      <c r="C12" s="121">
        <f>((+E9*(1+G4))/('FTES Growth Allocations'!$E$25+'FTES Growth Allocations'!$E$21))</f>
        <v>-1356.6152149505065</v>
      </c>
    </row>
    <row r="13" spans="1:11" x14ac:dyDescent="0.2">
      <c r="B13" s="120" t="s">
        <v>122</v>
      </c>
      <c r="C13" s="121">
        <f>(((+E5+F5)*(1+G4))/('FTES Growth Allocations'!$E$25+'FTES Growth Allocations'!$E$21))</f>
        <v>1356.6152149505065</v>
      </c>
      <c r="G13" s="247"/>
      <c r="H13" s="247"/>
      <c r="I13" s="247"/>
      <c r="J13" s="247"/>
    </row>
    <row r="14" spans="1:11" x14ac:dyDescent="0.2">
      <c r="B14" s="120" t="s">
        <v>80</v>
      </c>
      <c r="C14" s="121">
        <f>(+E7*(1+G4)/('FTES Growth Allocations'!$E$25+'FTES Growth Allocations'!$E$21))</f>
        <v>0</v>
      </c>
      <c r="D14" s="18"/>
    </row>
    <row r="18" spans="2:3" ht="13.5" thickBot="1" x14ac:dyDescent="0.25">
      <c r="B18" s="311" t="s">
        <v>212</v>
      </c>
      <c r="C18" s="312"/>
    </row>
    <row r="19" spans="2:3" x14ac:dyDescent="0.2">
      <c r="B19" s="419" t="s">
        <v>331</v>
      </c>
      <c r="C19" s="149">
        <v>250000</v>
      </c>
    </row>
    <row r="20" spans="2:3" x14ac:dyDescent="0.2">
      <c r="B20" s="374"/>
      <c r="C20" s="375"/>
    </row>
    <row r="21" spans="2:3" x14ac:dyDescent="0.2">
      <c r="B21" s="374"/>
      <c r="C21" s="375"/>
    </row>
    <row r="22" spans="2:3" x14ac:dyDescent="0.2">
      <c r="B22" s="374"/>
      <c r="C22" s="375"/>
    </row>
    <row r="23" spans="2:3" x14ac:dyDescent="0.2">
      <c r="B23" s="374"/>
      <c r="C23" s="375"/>
    </row>
    <row r="24" spans="2:3" x14ac:dyDescent="0.2">
      <c r="B24" s="376"/>
      <c r="C24" s="375"/>
    </row>
    <row r="25" spans="2:3" x14ac:dyDescent="0.2">
      <c r="B25" s="376"/>
      <c r="C25" s="375"/>
    </row>
    <row r="26" spans="2:3" x14ac:dyDescent="0.2">
      <c r="B26" s="376"/>
      <c r="C26" s="375"/>
    </row>
    <row r="27" spans="2:3" x14ac:dyDescent="0.2">
      <c r="B27" s="374"/>
      <c r="C27" s="375"/>
    </row>
    <row r="28" spans="2:3" x14ac:dyDescent="0.2">
      <c r="B28" s="374"/>
      <c r="C28" s="375"/>
    </row>
    <row r="29" spans="2:3" x14ac:dyDescent="0.2">
      <c r="B29" s="378"/>
      <c r="C29" s="377"/>
    </row>
    <row r="30" spans="2:3" x14ac:dyDescent="0.2">
      <c r="B30" s="376"/>
      <c r="C30" s="375"/>
    </row>
    <row r="31" spans="2:3" x14ac:dyDescent="0.2">
      <c r="B31" s="376"/>
      <c r="C31" s="375"/>
    </row>
    <row r="32" spans="2:3" x14ac:dyDescent="0.2">
      <c r="B32" s="376"/>
      <c r="C32" s="375"/>
    </row>
    <row r="33" spans="2:3" x14ac:dyDescent="0.2">
      <c r="B33" s="376"/>
      <c r="C33" s="375"/>
    </row>
    <row r="34" spans="2:3" x14ac:dyDescent="0.2">
      <c r="B34" s="374"/>
      <c r="C34" s="375"/>
    </row>
    <row r="35" spans="2:3" ht="13.5" customHeight="1" x14ac:dyDescent="0.2">
      <c r="B35" s="374"/>
      <c r="C35" s="375"/>
    </row>
    <row r="36" spans="2:3" ht="13.5" customHeight="1" x14ac:dyDescent="0.2">
      <c r="B36" s="351"/>
      <c r="C36" s="149"/>
    </row>
    <row r="37" spans="2:3" ht="13.5" customHeight="1" x14ac:dyDescent="0.2">
      <c r="B37" s="351"/>
      <c r="C37" s="375"/>
    </row>
    <row r="38" spans="2:3" ht="13.5" customHeight="1" x14ac:dyDescent="0.2">
      <c r="B38"/>
      <c r="C38" s="375"/>
    </row>
    <row r="39" spans="2:3" ht="13.5" customHeight="1" x14ac:dyDescent="0.2">
      <c r="B39"/>
      <c r="C39" s="375"/>
    </row>
    <row r="40" spans="2:3" ht="13.5" customHeight="1" x14ac:dyDescent="0.2">
      <c r="B40"/>
      <c r="C40" s="375"/>
    </row>
    <row r="41" spans="2:3" ht="13.5" customHeight="1" x14ac:dyDescent="0.2">
      <c r="B41"/>
      <c r="C41" s="375"/>
    </row>
    <row r="42" spans="2:3" ht="13.5" customHeight="1" x14ac:dyDescent="0.2">
      <c r="B42"/>
      <c r="C42" s="375"/>
    </row>
    <row r="43" spans="2:3" ht="13.5" customHeight="1" x14ac:dyDescent="0.2">
      <c r="B43"/>
      <c r="C43" s="375"/>
    </row>
    <row r="44" spans="2:3" ht="15" thickBot="1" x14ac:dyDescent="0.25">
      <c r="B44" s="309"/>
      <c r="C44" s="149"/>
    </row>
    <row r="45" spans="2:3" ht="13.5" thickBot="1" x14ac:dyDescent="0.25">
      <c r="B45" s="352" t="s">
        <v>4</v>
      </c>
      <c r="C45" s="353">
        <f>SUM(C19:C44)</f>
        <v>250000</v>
      </c>
    </row>
  </sheetData>
  <phoneticPr fontId="0" type="noConversion"/>
  <pageMargins left="0.25" right="0.25" top="0.25" bottom="0.25" header="0.5" footer="0.5"/>
  <pageSetup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E57"/>
  <sheetViews>
    <sheetView topLeftCell="A10" workbookViewId="0">
      <selection activeCell="B20" sqref="B20"/>
    </sheetView>
  </sheetViews>
  <sheetFormatPr defaultRowHeight="15" x14ac:dyDescent="0.2"/>
  <cols>
    <col min="1" max="1" width="50.5703125" customWidth="1"/>
    <col min="2" max="2" width="20.140625" bestFit="1" customWidth="1"/>
    <col min="3" max="3" width="26.5703125" style="4" customWidth="1"/>
    <col min="4" max="5" width="19.5703125" style="4" customWidth="1"/>
    <col min="7" max="7" width="17.42578125" customWidth="1"/>
  </cols>
  <sheetData>
    <row r="1" spans="1:5" ht="18" x14ac:dyDescent="0.25">
      <c r="A1" s="1" t="s">
        <v>5</v>
      </c>
      <c r="B1" s="34"/>
      <c r="C1"/>
      <c r="D1"/>
      <c r="E1"/>
    </row>
    <row r="2" spans="1:5" s="61" customFormat="1" ht="15.75" x14ac:dyDescent="0.25">
      <c r="A2" s="79"/>
      <c r="B2" s="80"/>
    </row>
    <row r="3" spans="1:5" ht="18" x14ac:dyDescent="0.25">
      <c r="A3" s="1" t="s">
        <v>77</v>
      </c>
      <c r="B3" s="1"/>
    </row>
    <row r="5" spans="1:5" s="5" customFormat="1" ht="32.25" thickBot="1" x14ac:dyDescent="0.3">
      <c r="A5" s="6" t="s">
        <v>0</v>
      </c>
      <c r="B5" s="3" t="s">
        <v>1</v>
      </c>
      <c r="C5" s="3" t="s">
        <v>2</v>
      </c>
      <c r="D5" s="3" t="s">
        <v>3</v>
      </c>
      <c r="E5" s="3" t="s">
        <v>78</v>
      </c>
    </row>
    <row r="7" spans="1:5" ht="16.5" thickBot="1" x14ac:dyDescent="0.3">
      <c r="A7" s="31" t="s">
        <v>7</v>
      </c>
    </row>
    <row r="8" spans="1:5" s="8" customFormat="1" x14ac:dyDescent="0.2">
      <c r="A8" s="9" t="s">
        <v>9</v>
      </c>
      <c r="B8" s="27">
        <f>+'Budget Premisis'!B29</f>
        <v>15526.05</v>
      </c>
      <c r="C8" s="26">
        <f>+'Budget Premisis'!B30</f>
        <v>2847.2</v>
      </c>
      <c r="D8" s="30">
        <f>+'Budget Premisis'!B31</f>
        <v>2970.36</v>
      </c>
      <c r="E8" s="26">
        <f>SUM(B8:D8)</f>
        <v>21343.61</v>
      </c>
    </row>
    <row r="9" spans="1:5" s="8" customFormat="1" ht="15.75" thickBot="1" x14ac:dyDescent="0.25">
      <c r="A9" s="9" t="s">
        <v>10</v>
      </c>
      <c r="B9" s="26">
        <f>+'Budget Premisis'!C29</f>
        <v>92.28</v>
      </c>
      <c r="C9" s="26">
        <f>+'Budget Premisis'!C30</f>
        <v>0.95</v>
      </c>
      <c r="D9" s="30">
        <f>+'Budget Premisis'!C31</f>
        <v>24.55</v>
      </c>
      <c r="E9" s="26">
        <f>SUM(B9:D9)</f>
        <v>117.78</v>
      </c>
    </row>
    <row r="10" spans="1:5" s="8" customFormat="1" ht="15.75" thickBot="1" x14ac:dyDescent="0.25">
      <c r="A10" s="28" t="s">
        <v>4</v>
      </c>
      <c r="B10" s="29">
        <f>SUM(B8:B9)</f>
        <v>15618.33</v>
      </c>
      <c r="C10" s="29">
        <f>SUM(C8:C9)</f>
        <v>2848.1499999999996</v>
      </c>
      <c r="D10" s="29">
        <f>SUM(D8:D9)</f>
        <v>2994.9100000000003</v>
      </c>
      <c r="E10" s="29">
        <f>SUM(E8:E9)</f>
        <v>21461.39</v>
      </c>
    </row>
    <row r="11" spans="1:5" s="8" customFormat="1" ht="15.75" x14ac:dyDescent="0.25">
      <c r="A11" s="7"/>
      <c r="B11" s="35"/>
      <c r="C11" s="35"/>
      <c r="D11" s="35"/>
      <c r="E11" s="26"/>
    </row>
    <row r="12" spans="1:5" s="8" customFormat="1" x14ac:dyDescent="0.2">
      <c r="A12" s="9"/>
      <c r="B12" s="35"/>
      <c r="C12" s="9"/>
      <c r="D12" s="9"/>
      <c r="E12" s="9"/>
    </row>
    <row r="13" spans="1:5" s="8" customFormat="1" ht="16.5" thickBot="1" x14ac:dyDescent="0.3">
      <c r="A13" s="10" t="s">
        <v>33</v>
      </c>
      <c r="C13" s="9"/>
      <c r="D13" s="9"/>
      <c r="E13" s="9"/>
    </row>
    <row r="14" spans="1:5" s="8" customFormat="1" ht="32.25" thickBot="1" x14ac:dyDescent="0.3">
      <c r="A14" s="9"/>
      <c r="B14" s="3" t="s">
        <v>1</v>
      </c>
      <c r="C14" s="3" t="s">
        <v>2</v>
      </c>
      <c r="D14" s="3" t="s">
        <v>3</v>
      </c>
      <c r="E14" s="3" t="s">
        <v>78</v>
      </c>
    </row>
    <row r="15" spans="1:5" s="8" customFormat="1" ht="16.5" thickBot="1" x14ac:dyDescent="0.3">
      <c r="A15" s="10" t="s">
        <v>29</v>
      </c>
      <c r="C15" s="9"/>
      <c r="D15" s="9"/>
      <c r="E15" s="9"/>
    </row>
    <row r="16" spans="1:5" s="32" customFormat="1" x14ac:dyDescent="0.2">
      <c r="A16" s="32" t="s">
        <v>334</v>
      </c>
      <c r="B16" s="32">
        <f>+'Budget Premisis'!D14</f>
        <v>6589.4046217396872</v>
      </c>
      <c r="C16" s="32">
        <f>+B16</f>
        <v>6589.4046217396872</v>
      </c>
      <c r="D16" s="32">
        <f>+C16</f>
        <v>6589.4046217396872</v>
      </c>
    </row>
    <row r="17" spans="1:5" s="32" customFormat="1" x14ac:dyDescent="0.2">
      <c r="A17" s="32" t="s">
        <v>332</v>
      </c>
      <c r="B17" s="32">
        <f>+'Budget Premisis'!D11</f>
        <v>4156.2283575105293</v>
      </c>
      <c r="C17" s="32">
        <f>+B17</f>
        <v>4156.2283575105293</v>
      </c>
      <c r="D17" s="32">
        <f>+C17</f>
        <v>4156.2283575105293</v>
      </c>
    </row>
    <row r="18" spans="1:5" s="32" customFormat="1" x14ac:dyDescent="0.2"/>
    <row r="19" spans="1:5" s="8" customFormat="1" ht="16.5" thickBot="1" x14ac:dyDescent="0.3">
      <c r="A19" s="36" t="s">
        <v>34</v>
      </c>
      <c r="C19" s="9"/>
      <c r="D19" s="9"/>
      <c r="E19" s="9"/>
    </row>
    <row r="20" spans="1:5" s="8" customFormat="1" x14ac:dyDescent="0.2">
      <c r="A20" s="32" t="s">
        <v>102</v>
      </c>
      <c r="B20" s="33">
        <f>(+B16*B8)-B21</f>
        <v>101923888.87453039</v>
      </c>
      <c r="C20" s="33">
        <f t="shared" ref="C20:D20" si="0">(+C16*C8)-C21</f>
        <v>18757404.4220776</v>
      </c>
      <c r="D20" s="33">
        <f t="shared" si="0"/>
        <v>19470868.506053813</v>
      </c>
      <c r="E20" s="37">
        <f>SUM(B20:D20)</f>
        <v>140152161.80266181</v>
      </c>
    </row>
    <row r="21" spans="1:5" s="9" customFormat="1" ht="15.75" thickBot="1" x14ac:dyDescent="0.25">
      <c r="A21" s="32" t="s">
        <v>103</v>
      </c>
      <c r="B21" s="37">
        <f>+B17*B9</f>
        <v>383536.75283107167</v>
      </c>
      <c r="C21" s="37">
        <f>+C17*C9</f>
        <v>3948.4169396350026</v>
      </c>
      <c r="D21" s="37">
        <f>+D17*D9</f>
        <v>102035.40617688349</v>
      </c>
      <c r="E21" s="26">
        <f>SUM(B21:D21)</f>
        <v>489520.57594759017</v>
      </c>
    </row>
    <row r="22" spans="1:5" s="8" customFormat="1" ht="15.75" thickBot="1" x14ac:dyDescent="0.25">
      <c r="A22" s="9"/>
      <c r="B22" s="37">
        <f>SUM(B20:B21)</f>
        <v>102307425.62736146</v>
      </c>
      <c r="C22" s="37">
        <f>SUM(C20:C21)</f>
        <v>18761352.839017235</v>
      </c>
      <c r="D22" s="37">
        <f>SUM(D20:D21)</f>
        <v>19572903.912230697</v>
      </c>
      <c r="E22" s="42">
        <f>SUM(E20:E21)</f>
        <v>140641682.37860939</v>
      </c>
    </row>
    <row r="23" spans="1:5" s="8" customFormat="1" x14ac:dyDescent="0.2">
      <c r="A23" s="9"/>
      <c r="C23" s="9"/>
      <c r="D23" s="9"/>
      <c r="E23" s="9"/>
    </row>
    <row r="24" spans="1:5" s="8" customFormat="1" x14ac:dyDescent="0.2">
      <c r="A24" s="9"/>
      <c r="E24" s="9"/>
    </row>
    <row r="25" spans="1:5" s="8" customFormat="1" x14ac:dyDescent="0.2">
      <c r="A25" s="9"/>
      <c r="E25" s="9"/>
    </row>
    <row r="26" spans="1:5" s="8" customFormat="1" x14ac:dyDescent="0.2">
      <c r="A26" s="9"/>
      <c r="C26" s="9"/>
      <c r="D26" s="9"/>
      <c r="E26" s="9"/>
    </row>
    <row r="27" spans="1:5" s="8" customFormat="1" x14ac:dyDescent="0.2">
      <c r="A27" s="9"/>
      <c r="E27" s="9"/>
    </row>
    <row r="28" spans="1:5" s="8" customFormat="1" x14ac:dyDescent="0.2">
      <c r="A28" s="9"/>
      <c r="C28" s="9"/>
      <c r="D28" s="9"/>
      <c r="E28" s="9"/>
    </row>
    <row r="29" spans="1:5" s="8" customFormat="1" x14ac:dyDescent="0.2">
      <c r="A29" s="9"/>
      <c r="B29" s="83"/>
      <c r="C29" s="9"/>
      <c r="D29" s="9"/>
      <c r="E29" s="9"/>
    </row>
    <row r="30" spans="1:5" s="8" customFormat="1" x14ac:dyDescent="0.2">
      <c r="A30" s="9"/>
      <c r="C30" s="9"/>
      <c r="D30" s="9"/>
      <c r="E30" s="9"/>
    </row>
    <row r="31" spans="1:5" s="8" customFormat="1" x14ac:dyDescent="0.2">
      <c r="A31" s="9"/>
      <c r="E31" s="9"/>
    </row>
    <row r="32" spans="1:5" x14ac:dyDescent="0.2">
      <c r="A32" s="4"/>
    </row>
    <row r="33" spans="1:1" x14ac:dyDescent="0.2">
      <c r="A33" s="4"/>
    </row>
    <row r="34" spans="1:1" x14ac:dyDescent="0.2">
      <c r="A34" s="4"/>
    </row>
    <row r="35" spans="1:1" x14ac:dyDescent="0.2">
      <c r="A35" s="4"/>
    </row>
    <row r="36" spans="1:1" x14ac:dyDescent="0.2">
      <c r="A36" s="4"/>
    </row>
    <row r="37" spans="1:1" x14ac:dyDescent="0.2">
      <c r="A37" s="4"/>
    </row>
    <row r="38" spans="1:1" x14ac:dyDescent="0.2">
      <c r="A38" s="4"/>
    </row>
    <row r="39" spans="1:1" x14ac:dyDescent="0.2">
      <c r="A39" s="4"/>
    </row>
    <row r="40" spans="1:1" x14ac:dyDescent="0.2">
      <c r="A40" s="4"/>
    </row>
    <row r="41" spans="1:1" x14ac:dyDescent="0.2">
      <c r="A41" s="4"/>
    </row>
    <row r="42" spans="1:1" x14ac:dyDescent="0.2">
      <c r="A42" s="4"/>
    </row>
    <row r="43" spans="1:1" x14ac:dyDescent="0.2">
      <c r="A43" s="4"/>
    </row>
    <row r="44" spans="1:1" x14ac:dyDescent="0.2">
      <c r="A44" s="4"/>
    </row>
    <row r="45" spans="1:1" x14ac:dyDescent="0.2">
      <c r="A45" s="4"/>
    </row>
    <row r="46" spans="1:1" x14ac:dyDescent="0.2">
      <c r="A46" s="4"/>
    </row>
    <row r="47" spans="1:1" x14ac:dyDescent="0.2">
      <c r="A47" s="4"/>
    </row>
    <row r="48" spans="1:1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</sheetData>
  <phoneticPr fontId="0" type="noConversion"/>
  <pageMargins left="0.75" right="0.75" top="1" bottom="1" header="0.5" footer="0.5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</vt:i4>
      </vt:variant>
    </vt:vector>
  </HeadingPairs>
  <TitlesOfParts>
    <vt:vector size="18" baseType="lpstr">
      <vt:lpstr>Recon</vt:lpstr>
      <vt:lpstr>Summary Allocations</vt:lpstr>
      <vt:lpstr>Beginning Balances</vt:lpstr>
      <vt:lpstr>Budget Premisis</vt:lpstr>
      <vt:lpstr>Income to be Allocated</vt:lpstr>
      <vt:lpstr>Apportionment</vt:lpstr>
      <vt:lpstr>Foundation Calculations</vt:lpstr>
      <vt:lpstr>District Costs</vt:lpstr>
      <vt:lpstr>Base FTES Allocations</vt:lpstr>
      <vt:lpstr>Base Adj</vt:lpstr>
      <vt:lpstr>FTES COLA Allocation</vt:lpstr>
      <vt:lpstr>FTES Growth Allocations</vt:lpstr>
      <vt:lpstr>Deficit Adj</vt:lpstr>
      <vt:lpstr>FTES Decline Mechanism</vt:lpstr>
      <vt:lpstr>Other Income  Inc -Decline </vt:lpstr>
      <vt:lpstr>'Income to be Allocated'!Print_Area</vt:lpstr>
      <vt:lpstr>'Summary Allocations'!Print_Area</vt:lpstr>
      <vt:lpstr>'Summary Allocations'!Print_Titles</vt:lpstr>
    </vt:vector>
  </TitlesOfParts>
  <Company>Kern Community College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KCCDUser</dc:creator>
  <cp:lastModifiedBy>Tom Burke</cp:lastModifiedBy>
  <cp:lastPrinted>2019-08-23T16:14:52Z</cp:lastPrinted>
  <dcterms:created xsi:type="dcterms:W3CDTF">2006-11-12T19:18:06Z</dcterms:created>
  <dcterms:modified xsi:type="dcterms:W3CDTF">2020-04-14T20:27:51Z</dcterms:modified>
</cp:coreProperties>
</file>